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35" windowWidth="15450" windowHeight="9690" activeTab="0"/>
  </bookViews>
  <sheets>
    <sheet name="Portfolio  Worksheet" sheetId="1" r:id="rId1"/>
    <sheet name="Weekly Summary" sheetId="2" r:id="rId2"/>
    <sheet name="Sold Positions Realized Gains" sheetId="3" r:id="rId3"/>
    <sheet name="Closed Stocks" sheetId="5" r:id="rId4"/>
    <sheet name="Chronology MP 2015" sheetId="27" r:id="rId5"/>
    <sheet name="Holdings List &amp; Flow MP 2015" sheetId="28" r:id="rId6"/>
    <sheet name="Sheet1" sheetId="26" r:id="rId7"/>
  </sheets>
  <definedNames/>
  <calcPr calcId="152511"/>
</workbook>
</file>

<file path=xl/comments1.xml><?xml version="1.0" encoding="utf-8"?>
<comments xmlns="http://schemas.openxmlformats.org/spreadsheetml/2006/main">
  <authors>
    <author>Lee</author>
  </authors>
  <commentList>
    <comment ref="O2" authorId="0">
      <text>
        <r>
          <rPr>
            <b/>
            <sz val="9"/>
            <rFont val="Tahoma"/>
            <family val="2"/>
          </rPr>
          <t>40 Trading Days</t>
        </r>
      </text>
    </comment>
    <comment ref="O29" authorId="0">
      <text>
        <r>
          <rPr>
            <b/>
            <sz val="9"/>
            <rFont val="Tahoma"/>
            <family val="2"/>
          </rPr>
          <t>40 Trading Days</t>
        </r>
      </text>
    </comment>
    <comment ref="O54" authorId="0">
      <text>
        <r>
          <rPr>
            <b/>
            <sz val="9"/>
            <rFont val="Tahoma"/>
            <family val="2"/>
          </rPr>
          <t>40 Trading Days</t>
        </r>
      </text>
    </comment>
    <comment ref="O82" authorId="0">
      <text>
        <r>
          <rPr>
            <b/>
            <sz val="9"/>
            <rFont val="Tahoma"/>
            <family val="2"/>
          </rPr>
          <t>40 Trading Days</t>
        </r>
      </text>
    </comment>
    <comment ref="O110" authorId="0">
      <text>
        <r>
          <rPr>
            <b/>
            <sz val="9"/>
            <rFont val="Tahoma"/>
            <family val="2"/>
          </rPr>
          <t>40 Trading Days</t>
        </r>
      </text>
    </comment>
    <comment ref="O138" authorId="0">
      <text>
        <r>
          <rPr>
            <b/>
            <sz val="9"/>
            <rFont val="Tahoma"/>
            <family val="2"/>
          </rPr>
          <t>40 Trading Days</t>
        </r>
      </text>
    </comment>
    <comment ref="O170" authorId="0">
      <text>
        <r>
          <rPr>
            <b/>
            <sz val="9"/>
            <rFont val="Tahoma"/>
            <family val="2"/>
          </rPr>
          <t>40 Trading Days</t>
        </r>
      </text>
    </comment>
    <comment ref="O204" authorId="0">
      <text>
        <r>
          <rPr>
            <b/>
            <sz val="9"/>
            <rFont val="Tahoma"/>
            <family val="2"/>
          </rPr>
          <t>40 Trading Days</t>
        </r>
      </text>
    </comment>
    <comment ref="O243" authorId="0">
      <text>
        <r>
          <rPr>
            <b/>
            <sz val="9"/>
            <rFont val="Tahoma"/>
            <family val="2"/>
          </rPr>
          <t>40 Trading Days</t>
        </r>
      </text>
    </comment>
    <comment ref="O283" authorId="0">
      <text>
        <r>
          <rPr>
            <b/>
            <sz val="9"/>
            <rFont val="Tahoma"/>
            <family val="2"/>
          </rPr>
          <t>40 Trading Days</t>
        </r>
      </text>
    </comment>
    <comment ref="O320" authorId="0">
      <text>
        <r>
          <rPr>
            <b/>
            <sz val="9"/>
            <rFont val="Tahoma"/>
            <family val="2"/>
          </rPr>
          <t>40 Trading Days</t>
        </r>
      </text>
    </comment>
    <comment ref="O358" authorId="0">
      <text>
        <r>
          <rPr>
            <b/>
            <sz val="9"/>
            <rFont val="Tahoma"/>
            <family val="2"/>
          </rPr>
          <t>40 Trading Days</t>
        </r>
      </text>
    </comment>
    <comment ref="O393" authorId="0">
      <text>
        <r>
          <rPr>
            <b/>
            <sz val="9"/>
            <rFont val="Tahoma"/>
            <family val="2"/>
          </rPr>
          <t>40 Trading Days</t>
        </r>
      </text>
    </comment>
    <comment ref="O431" authorId="0">
      <text>
        <r>
          <rPr>
            <b/>
            <sz val="9"/>
            <rFont val="Tahoma"/>
            <family val="2"/>
          </rPr>
          <t>40 Trading Days</t>
        </r>
      </text>
    </comment>
    <comment ref="O471" authorId="0">
      <text>
        <r>
          <rPr>
            <b/>
            <sz val="9"/>
            <rFont val="Tahoma"/>
            <family val="2"/>
          </rPr>
          <t>40 Trading Days</t>
        </r>
      </text>
    </comment>
    <comment ref="O513" authorId="0">
      <text>
        <r>
          <rPr>
            <b/>
            <sz val="9"/>
            <rFont val="Tahoma"/>
            <family val="2"/>
          </rPr>
          <t>40 Trading Days</t>
        </r>
      </text>
    </comment>
    <comment ref="O557" authorId="0">
      <text>
        <r>
          <rPr>
            <b/>
            <sz val="9"/>
            <rFont val="Tahoma"/>
            <family val="2"/>
          </rPr>
          <t>40 Trading Days</t>
        </r>
      </text>
    </comment>
    <comment ref="O601" authorId="0">
      <text>
        <r>
          <rPr>
            <b/>
            <sz val="9"/>
            <rFont val="Tahoma"/>
            <family val="2"/>
          </rPr>
          <t>40 Trading Days</t>
        </r>
      </text>
    </comment>
    <comment ref="O646" authorId="0">
      <text>
        <r>
          <rPr>
            <b/>
            <sz val="9"/>
            <rFont val="Tahoma"/>
            <family val="2"/>
          </rPr>
          <t>40 Trading Days</t>
        </r>
      </text>
    </comment>
    <comment ref="O693" authorId="0">
      <text>
        <r>
          <rPr>
            <b/>
            <sz val="9"/>
            <rFont val="Tahoma"/>
            <family val="2"/>
          </rPr>
          <t>40 Trading Days</t>
        </r>
      </text>
    </comment>
    <comment ref="O741" authorId="0">
      <text>
        <r>
          <rPr>
            <b/>
            <sz val="9"/>
            <rFont val="Tahoma"/>
            <family val="2"/>
          </rPr>
          <t>40 Trading Days</t>
        </r>
      </text>
    </comment>
    <comment ref="O790" authorId="0">
      <text>
        <r>
          <rPr>
            <b/>
            <sz val="9"/>
            <rFont val="Tahoma"/>
            <family val="2"/>
          </rPr>
          <t>40 Trading Days</t>
        </r>
      </text>
    </comment>
    <comment ref="O835" authorId="0">
      <text>
        <r>
          <rPr>
            <b/>
            <sz val="9"/>
            <rFont val="Tahoma"/>
            <family val="2"/>
          </rPr>
          <t>40 Trading Days</t>
        </r>
      </text>
    </comment>
    <comment ref="O880" authorId="0">
      <text>
        <r>
          <rPr>
            <b/>
            <sz val="9"/>
            <rFont val="Tahoma"/>
            <family val="2"/>
          </rPr>
          <t>40 Trading Days</t>
        </r>
      </text>
    </comment>
    <comment ref="O921" authorId="0">
      <text>
        <r>
          <rPr>
            <b/>
            <sz val="9"/>
            <rFont val="Tahoma"/>
            <family val="2"/>
          </rPr>
          <t>40 Trading Days</t>
        </r>
      </text>
    </comment>
    <comment ref="O958" authorId="0">
      <text>
        <r>
          <rPr>
            <b/>
            <sz val="9"/>
            <rFont val="Tahoma"/>
            <family val="2"/>
          </rPr>
          <t>40 Trading Days</t>
        </r>
      </text>
    </comment>
    <comment ref="O996" authorId="0">
      <text>
        <r>
          <rPr>
            <b/>
            <sz val="9"/>
            <rFont val="Tahoma"/>
            <family val="2"/>
          </rPr>
          <t>40 Trading Days</t>
        </r>
      </text>
    </comment>
    <comment ref="O1036" authorId="0">
      <text>
        <r>
          <rPr>
            <b/>
            <sz val="9"/>
            <rFont val="Tahoma"/>
            <family val="2"/>
          </rPr>
          <t>40 Trading Days</t>
        </r>
      </text>
    </comment>
    <comment ref="O1076" authorId="0">
      <text>
        <r>
          <rPr>
            <b/>
            <sz val="9"/>
            <rFont val="Tahoma"/>
            <family val="2"/>
          </rPr>
          <t>40 Trading Days</t>
        </r>
      </text>
    </comment>
    <comment ref="O1117" authorId="0">
      <text>
        <r>
          <rPr>
            <b/>
            <sz val="9"/>
            <rFont val="Tahoma"/>
            <family val="2"/>
          </rPr>
          <t>40 Trading Days</t>
        </r>
      </text>
    </comment>
    <comment ref="O1161" authorId="0">
      <text>
        <r>
          <rPr>
            <b/>
            <sz val="9"/>
            <rFont val="Tahoma"/>
            <family val="2"/>
          </rPr>
          <t>40 Trading Days</t>
        </r>
      </text>
    </comment>
    <comment ref="O1200" authorId="0">
      <text>
        <r>
          <rPr>
            <b/>
            <sz val="9"/>
            <rFont val="Tahoma"/>
            <family val="2"/>
          </rPr>
          <t>40 Trading Days</t>
        </r>
      </text>
    </comment>
    <comment ref="O1240" authorId="0">
      <text>
        <r>
          <rPr>
            <b/>
            <sz val="9"/>
            <rFont val="Tahoma"/>
            <family val="2"/>
          </rPr>
          <t>40 Trading Days</t>
        </r>
      </text>
    </comment>
    <comment ref="O1254" authorId="0">
      <text>
        <r>
          <rPr>
            <b/>
            <sz val="9"/>
            <rFont val="Tahoma"/>
            <family val="2"/>
          </rPr>
          <t>40 Trading Days</t>
        </r>
      </text>
    </comment>
    <comment ref="O1269" authorId="0">
      <text>
        <r>
          <rPr>
            <b/>
            <sz val="9"/>
            <rFont val="Tahoma"/>
            <family val="2"/>
          </rPr>
          <t>40 Trading Days</t>
        </r>
      </text>
    </comment>
    <comment ref="O1285" authorId="0">
      <text>
        <r>
          <rPr>
            <b/>
            <sz val="9"/>
            <rFont val="Tahoma"/>
            <family val="2"/>
          </rPr>
          <t>40 Trading Days</t>
        </r>
      </text>
    </comment>
    <comment ref="O1305" authorId="0">
      <text>
        <r>
          <rPr>
            <b/>
            <sz val="9"/>
            <rFont val="Tahoma"/>
            <family val="2"/>
          </rPr>
          <t>40 Trading Days</t>
        </r>
      </text>
    </comment>
    <comment ref="O1324" authorId="0">
      <text>
        <r>
          <rPr>
            <b/>
            <sz val="9"/>
            <rFont val="Tahoma"/>
            <family val="2"/>
          </rPr>
          <t>40 Trading Days</t>
        </r>
      </text>
    </comment>
    <comment ref="O1341" authorId="0">
      <text>
        <r>
          <rPr>
            <b/>
            <sz val="9"/>
            <rFont val="Tahoma"/>
            <family val="2"/>
          </rPr>
          <t>40 Trading Days</t>
        </r>
      </text>
    </comment>
    <comment ref="O1365" authorId="0">
      <text>
        <r>
          <rPr>
            <b/>
            <sz val="9"/>
            <rFont val="Tahoma"/>
            <family val="2"/>
          </rPr>
          <t>40 Trading Days</t>
        </r>
      </text>
    </comment>
    <comment ref="O1393" authorId="0">
      <text>
        <r>
          <rPr>
            <b/>
            <sz val="9"/>
            <rFont val="Tahoma"/>
            <family val="2"/>
          </rPr>
          <t>40 Trading Days</t>
        </r>
      </text>
    </comment>
    <comment ref="O1423" authorId="0">
      <text>
        <r>
          <rPr>
            <b/>
            <sz val="9"/>
            <rFont val="Tahoma"/>
            <family val="2"/>
          </rPr>
          <t>40 Trading Days</t>
        </r>
      </text>
    </comment>
    <comment ref="O1454" authorId="0">
      <text>
        <r>
          <rPr>
            <b/>
            <sz val="9"/>
            <rFont val="Tahoma"/>
            <family val="2"/>
          </rPr>
          <t>40 Trading Days</t>
        </r>
      </text>
    </comment>
  </commentList>
</comments>
</file>

<file path=xl/comments6.xml><?xml version="1.0" encoding="utf-8"?>
<comments xmlns="http://schemas.openxmlformats.org/spreadsheetml/2006/main">
  <authors>
    <author>LELAND  TANNER</author>
    <author>Lee</author>
  </authors>
  <commentList>
    <comment ref="B2" authorId="0">
      <text>
        <r>
          <rPr>
            <b/>
            <sz val="8"/>
            <rFont val="Tahoma"/>
            <family val="2"/>
          </rPr>
          <t>LELAND  TANNER: Market from IBD
Green Indicated Confirmed Rally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Yellow is Market Under Pressure
Red is Market Correction</t>
        </r>
      </text>
    </comment>
    <comment ref="AL9" authorId="1">
      <text>
        <r>
          <rPr>
            <b/>
            <sz val="9"/>
            <rFont val="Tahoma"/>
            <family val="2"/>
          </rPr>
          <t>Sold at +25% goal on 6/20/14</t>
        </r>
      </text>
    </comment>
    <comment ref="AC10" authorId="1">
      <text>
        <r>
          <rPr>
            <b/>
            <sz val="9"/>
            <rFont val="Tahoma"/>
            <family val="2"/>
          </rPr>
          <t>B1 only.  It failed soon to -7% CLSP.</t>
        </r>
        <r>
          <rPr>
            <sz val="9"/>
            <rFont val="Tahoma"/>
            <family val="2"/>
          </rPr>
          <t xml:space="preserve">
</t>
        </r>
      </text>
    </comment>
    <comment ref="AG10" authorId="1">
      <text>
        <r>
          <rPr>
            <b/>
            <sz val="9"/>
            <rFont val="Tahoma"/>
            <family val="2"/>
          </rPr>
          <t>B1 only.  It failed soon to -7% CLSP.</t>
        </r>
        <r>
          <rPr>
            <sz val="9"/>
            <rFont val="Tahoma"/>
            <family val="2"/>
          </rPr>
          <t xml:space="preserve">
</t>
        </r>
      </text>
    </comment>
    <comment ref="B11" authorId="1">
      <text>
        <r>
          <rPr>
            <b/>
            <sz val="9"/>
            <rFont val="Tahoma"/>
            <family val="2"/>
          </rPr>
          <t>Lee:  Watching for a base since July 2014.  New America 7/2/15, new marketing.  High EG. Like the stock a lot.  Industry Themes 12/11/14</t>
        </r>
        <r>
          <rPr>
            <sz val="9"/>
            <rFont val="Tahoma"/>
            <family val="2"/>
          </rPr>
          <t xml:space="preserve">
</t>
        </r>
      </text>
    </comment>
    <comment ref="R20" authorId="1">
      <text>
        <r>
          <rPr>
            <b/>
            <sz val="9"/>
            <rFont val="Tahoma"/>
            <family val="2"/>
          </rPr>
          <t xml:space="preserve">Lee's base count differs from MarketSmith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<sst xmlns="http://schemas.openxmlformats.org/spreadsheetml/2006/main" count="6862" uniqueCount="693">
  <si>
    <t>Stock</t>
  </si>
  <si>
    <t xml:space="preserve">Buy Date </t>
  </si>
  <si>
    <t>Price</t>
  </si>
  <si>
    <t>Qty</t>
  </si>
  <si>
    <t xml:space="preserve"> Cost</t>
  </si>
  <si>
    <t xml:space="preserve">Sell Date </t>
  </si>
  <si>
    <t>Net Value</t>
  </si>
  <si>
    <t xml:space="preserve"> Gain</t>
  </si>
  <si>
    <t xml:space="preserve">% G </t>
  </si>
  <si>
    <t>Comments</t>
  </si>
  <si>
    <t>Sell Pt</t>
  </si>
  <si>
    <t>-7% SP</t>
  </si>
  <si>
    <t>Goal</t>
  </si>
  <si>
    <t>Recent Hi</t>
  </si>
  <si>
    <t>Totals</t>
  </si>
  <si>
    <t>Total Account Value</t>
  </si>
  <si>
    <t>Realized Gain</t>
  </si>
  <si>
    <t>Buying Power</t>
  </si>
  <si>
    <t>Total Gain</t>
  </si>
  <si>
    <t>Percent Invested</t>
  </si>
  <si>
    <t>Date</t>
  </si>
  <si>
    <t>Nos  of Stocks</t>
  </si>
  <si>
    <t>Nos  of Trans This Wk</t>
  </si>
  <si>
    <t>Trans Per Day</t>
  </si>
  <si>
    <t>Trading Days</t>
  </si>
  <si>
    <t>Week Number</t>
  </si>
  <si>
    <t>Total Dollar Gain</t>
  </si>
  <si>
    <t>Overall Percent Gain</t>
  </si>
  <si>
    <r>
      <t xml:space="preserve">Percent Invested </t>
    </r>
    <r>
      <rPr>
        <b/>
        <sz val="9"/>
        <color theme="1"/>
        <rFont val="Calibri"/>
        <family val="2"/>
        <scheme val="minor"/>
      </rPr>
      <t>100% Scale</t>
    </r>
  </si>
  <si>
    <t>Average Tras Per Week</t>
  </si>
  <si>
    <t>Correct</t>
  </si>
  <si>
    <t>Total Realized Gain/Loss</t>
  </si>
  <si>
    <t>TOTALS</t>
  </si>
  <si>
    <t>Days Owned</t>
  </si>
  <si>
    <t>Annualized Rate of Return</t>
  </si>
  <si>
    <t>Symbol</t>
  </si>
  <si>
    <t>TSLA</t>
  </si>
  <si>
    <t xml:space="preserve">C </t>
  </si>
  <si>
    <t>C</t>
  </si>
  <si>
    <t>AMBA</t>
  </si>
  <si>
    <t>ILMN</t>
  </si>
  <si>
    <t>Conf Up</t>
  </si>
  <si>
    <t>Pressure</t>
  </si>
  <si>
    <t>CELG</t>
  </si>
  <si>
    <t>Market</t>
  </si>
  <si>
    <t>NOAH</t>
  </si>
  <si>
    <t>Total Trans-actions</t>
  </si>
  <si>
    <t>Weeks Owned</t>
  </si>
  <si>
    <t>FB</t>
  </si>
  <si>
    <t>NTES</t>
  </si>
  <si>
    <t>CMG</t>
  </si>
  <si>
    <t>BC</t>
  </si>
  <si>
    <t>PANW</t>
  </si>
  <si>
    <t>Goal Price</t>
  </si>
  <si>
    <t>Weekly Account Gain/Loss</t>
  </si>
  <si>
    <t>AVGO</t>
  </si>
  <si>
    <t>Up</t>
  </si>
  <si>
    <t>UP</t>
  </si>
  <si>
    <t>AKRX</t>
  </si>
  <si>
    <t>MBLY</t>
  </si>
  <si>
    <t>NXPI</t>
  </si>
  <si>
    <t>ULTA</t>
  </si>
  <si>
    <t>P</t>
  </si>
  <si>
    <t>IPHI</t>
  </si>
  <si>
    <t>SWKS</t>
  </si>
  <si>
    <t>PAYC</t>
  </si>
  <si>
    <t>CBM</t>
  </si>
  <si>
    <t>Weekly Protdolio Gain/Loss</t>
  </si>
  <si>
    <t>ABMD</t>
  </si>
  <si>
    <t xml:space="preserve">SR #14 </t>
  </si>
  <si>
    <t>SR #3</t>
  </si>
  <si>
    <t>Calculate Rate of Average Annual Return</t>
  </si>
  <si>
    <t>Holidays ' 15</t>
  </si>
  <si>
    <t>UVE</t>
  </si>
  <si>
    <t xml:space="preserve">B1 Very Early Buy (70.00) </t>
  </si>
  <si>
    <t>B2 (72.50)</t>
  </si>
  <si>
    <t>B1 (55.30)</t>
  </si>
  <si>
    <t>B2 (56.60)</t>
  </si>
  <si>
    <t>B3 (57.50)</t>
  </si>
  <si>
    <t>SKWS</t>
  </si>
  <si>
    <t>SKX</t>
  </si>
  <si>
    <t>B1 (57.70)</t>
  </si>
  <si>
    <t>B2 (59.10)</t>
  </si>
  <si>
    <t>B3 (60.30)</t>
  </si>
  <si>
    <t xml:space="preserve">B1 Early Buy (191.75) </t>
  </si>
  <si>
    <t>B2 (196.53)</t>
  </si>
  <si>
    <t xml:space="preserve">B1 (77.80) Early buy on gap up. </t>
  </si>
  <si>
    <t>B1 (77.90)</t>
  </si>
  <si>
    <t>B3 (79.40)</t>
  </si>
  <si>
    <t>B1 (696.66) Early buy on surge up big volume</t>
  </si>
  <si>
    <t>B2 (708.00)</t>
  </si>
  <si>
    <t>B3 (722)</t>
  </si>
  <si>
    <t>MNST</t>
  </si>
  <si>
    <t xml:space="preserve">B1 (113.60) Early buy with volume. </t>
  </si>
  <si>
    <t>B2 (113.60)</t>
  </si>
  <si>
    <t>B3 (117.00)</t>
  </si>
  <si>
    <t>B1 Early Buy (191.75)  Sell Rule #12, Failed Breakout</t>
  </si>
  <si>
    <t>B2 (196.53) Selkl Rule #12, Failed Breakout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</si>
  <si>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1/9/2015</t>
    </r>
  </si>
  <si>
    <r>
      <t>Sold Positions, January 2105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</t>
    </r>
  </si>
  <si>
    <t xml:space="preserve">JP Morgan Health Care Conference.  Comments seen as </t>
  </si>
  <si>
    <t xml:space="preserve">dampening expectations.  </t>
  </si>
  <si>
    <t>B2 (72.50)  B3 (74.80)</t>
  </si>
  <si>
    <t>Up 11%</t>
  </si>
  <si>
    <t xml:space="preserve">B1 (55.30)  Sell rule #3, Decline from the peak.  </t>
  </si>
  <si>
    <t xml:space="preserve">B2 (56.60)   Sell rule #3, Decline from the peak. </t>
  </si>
  <si>
    <t xml:space="preserve">B3 (57.50)   Sell rule #3, Decline from the peak. </t>
  </si>
  <si>
    <t>3 Wks, n/a</t>
  </si>
  <si>
    <t>Sell Rule #3, Decline from the peal.  Worry about GoPro</t>
  </si>
  <si>
    <t xml:space="preserve">competition form AAPL in the news.  Skittish market. </t>
  </si>
  <si>
    <t>SR #14</t>
  </si>
  <si>
    <t>B1 (21.24)</t>
  </si>
  <si>
    <t>B2 (21.73)  B3 (22.15)</t>
  </si>
  <si>
    <t>B2 (77.90)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</si>
  <si>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1/16/2015</t>
    </r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</si>
  <si>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1/23/2015</t>
    </r>
  </si>
  <si>
    <t>B3 (74.80</t>
  </si>
  <si>
    <t xml:space="preserve">B2 (72.50)  </t>
  </si>
  <si>
    <t>B3 (22.15)</t>
  </si>
  <si>
    <t xml:space="preserve">B2 (21.73)  </t>
  </si>
  <si>
    <t>B1 (40.50) Trend line early buy point</t>
  </si>
  <si>
    <t>B2 (42.64)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</si>
  <si>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1/30/2015</t>
    </r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</si>
  <si>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2/6/2015</t>
    </r>
  </si>
  <si>
    <t>B1 (696.66) Early buy on surge up big volume SR#6, ER Gap Down</t>
  </si>
  <si>
    <t>B2 (708.00)  Sell Rule #6, Gap Down, 5.5% after the ER</t>
  </si>
  <si>
    <t>B3 (722) SR #6 In after-hours trading, after the earnings release</t>
  </si>
  <si>
    <t>B1 (132.70)  B2 (136.00</t>
  </si>
  <si>
    <t>Sell rule #6.  Gapped down after the earning release</t>
  </si>
  <si>
    <t>B2 (42.64)  B3 (44.20)</t>
  </si>
  <si>
    <t>B3 (44.20)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</si>
  <si>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2/13/2015</t>
    </r>
  </si>
  <si>
    <t>A1 (Continuation Gap Up, ER)</t>
  </si>
  <si>
    <t>B2 (136.00) B3 (139.00)</t>
  </si>
  <si>
    <t xml:space="preserve">B1 (132.70)  </t>
  </si>
  <si>
    <t>B1 (130.10)</t>
  </si>
  <si>
    <t>B2 (133.25)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</si>
  <si>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2/20/2015</t>
    </r>
  </si>
  <si>
    <t>B3 (74.80)</t>
  </si>
  <si>
    <t xml:space="preserve">A1, 10-WEEK BOUNCE </t>
  </si>
  <si>
    <t>B3 (139.00)</t>
  </si>
  <si>
    <t xml:space="preserve">B2 (136.00) B3 </t>
  </si>
  <si>
    <t>B2 (133.25)  B3 (135.60)</t>
  </si>
  <si>
    <t>B3 (135.60)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</si>
  <si>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2/27/2015</t>
    </r>
  </si>
  <si>
    <t>A1, (Continuation Gap Up, ER) After-Hours</t>
  </si>
  <si>
    <t>A2 (85.05) (A little soon after A1, but okay)</t>
  </si>
  <si>
    <t>A1 (23.40) Earnings Report (ER)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</si>
  <si>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3/6/2015</t>
    </r>
  </si>
  <si>
    <t>1/3 B1 (57.50) Limit of Buying Power</t>
  </si>
  <si>
    <r>
      <t xml:space="preserve">B1 Very Early Buy (70.00)  </t>
    </r>
    <r>
      <rPr>
        <b/>
        <sz val="10"/>
        <color theme="1"/>
        <rFont val="Calibri"/>
        <family val="2"/>
        <scheme val="minor"/>
      </rPr>
      <t xml:space="preserve"> VERY CLOSE TO TIME &amp; PRICE GOAL</t>
    </r>
  </si>
  <si>
    <r>
      <t xml:space="preserve">B1 (113.60) Early buy with volume.   </t>
    </r>
    <r>
      <rPr>
        <b/>
        <sz val="10"/>
        <color theme="1"/>
        <rFont val="Calibri"/>
        <family val="2"/>
        <scheme val="minor"/>
      </rPr>
      <t>PAST TIME GOAL</t>
    </r>
  </si>
  <si>
    <r>
      <t xml:space="preserve">B2 (113.60)  </t>
    </r>
    <r>
      <rPr>
        <b/>
        <sz val="10"/>
        <color theme="1"/>
        <rFont val="Calibri"/>
        <family val="2"/>
        <scheme val="minor"/>
      </rPr>
      <t>CLOSE TO PRICE GOAL</t>
    </r>
  </si>
  <si>
    <t xml:space="preserve">B1 (77.80) Early buy on gap up.  SR #2, Sell All For Goal </t>
  </si>
  <si>
    <t xml:space="preserve">B1 (77.90)  SR #2, Sell All For Goal </t>
  </si>
  <si>
    <t xml:space="preserve">B3 (79.40)  SR #2, Sell All For Goal </t>
  </si>
  <si>
    <t xml:space="preserve">A1 (Continuation Gap Up, ER)  SR #2, Sell All For Goal </t>
  </si>
  <si>
    <t>B1 (40.50) Trend line early buy point.  SR #6 Gap Down, Volume</t>
  </si>
  <si>
    <t>B2 (42.64)   SR #6 Gap Down, Volume</t>
  </si>
  <si>
    <t>B3 (44.20)   SR #6 Gap Down, Volume</t>
  </si>
  <si>
    <t xml:space="preserve">A1 (Continuation Gap Up After Earnings Report, Post market.) </t>
  </si>
  <si>
    <t xml:space="preserve">Sell rule #6.  Gapped down on high volume.  </t>
  </si>
  <si>
    <t xml:space="preserve">News is not important.  If just failed.  </t>
  </si>
  <si>
    <t>A1 (Continuation Gap Up, ER)  SR #6 Gap Down, Volume</t>
  </si>
  <si>
    <t>B1 &amp; B2 (63.30 &amp; 64.88)  Buying power after AKRX Tanked &amp; Sold</t>
  </si>
  <si>
    <t>B3 (66.04)</t>
  </si>
  <si>
    <t>Sell Rule #2.  At profit goal after SR #14 Time Goal</t>
  </si>
  <si>
    <t>Might have used SR #10, but want buying power for</t>
  </si>
  <si>
    <t>other stocks.  TMR</t>
  </si>
  <si>
    <t>AFSI</t>
  </si>
  <si>
    <t xml:space="preserve">B1 (57.09) </t>
  </si>
  <si>
    <r>
      <t xml:space="preserve">B1 (21.24)  </t>
    </r>
    <r>
      <rPr>
        <b/>
        <sz val="10"/>
        <color theme="1"/>
        <rFont val="Calibri"/>
        <family val="2"/>
        <scheme val="minor"/>
      </rPr>
      <t xml:space="preserve">RECENTLY NEAR PRICE GOAL, PAST TIME GOAL. </t>
    </r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</si>
  <si>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3/13/2015</t>
    </r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</si>
  <si>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3/20/2015</t>
    </r>
  </si>
  <si>
    <t>Gain for Week</t>
  </si>
  <si>
    <t>Average Gain Per Week</t>
  </si>
  <si>
    <r>
      <t xml:space="preserve">B1 Very Early Buy (70.00)  </t>
    </r>
    <r>
      <rPr>
        <b/>
        <sz val="10"/>
        <color theme="1"/>
        <rFont val="Calibri"/>
        <family val="2"/>
        <scheme val="minor"/>
      </rPr>
      <t xml:space="preserve"> Sell Rule #2 &amp; #14</t>
    </r>
  </si>
  <si>
    <t>B2 (72.50)  Sell Rule #2 &amp; #14</t>
  </si>
  <si>
    <t>B3 (74.80)  Sell Rule #2 &amp; #14</t>
  </si>
  <si>
    <t>A1, 10-WEEK BOUNCE   Sell Rule #2 &amp; #14</t>
  </si>
  <si>
    <t>A2 (85.05) (A little soon after A1, but okay)  Sell Rule #2 &amp; #14</t>
  </si>
  <si>
    <t>A2 (70.35) New High After Pull-back</t>
  </si>
  <si>
    <t>A1 (140.00) 10-WK BOUNCE</t>
  </si>
  <si>
    <t>B1 (57.09) B2 (58.00)</t>
  </si>
  <si>
    <t>LCI</t>
  </si>
  <si>
    <t xml:space="preserve">Sell Rule #2 and SR #14 Time Goal at the same time.  </t>
  </si>
  <si>
    <t>2/3 of B1 (20.00)(Limit of buying power right now.)</t>
  </si>
  <si>
    <t>1/2 of B1 (20.00) (Selling SWKS today)</t>
  </si>
  <si>
    <t>B2 (23.00) (STL- not so clean looking)  B3 (23.5, $12k)</t>
  </si>
  <si>
    <t>B2 (58.00) B3 (59.20, $7,2K)</t>
  </si>
  <si>
    <t>HQY</t>
  </si>
  <si>
    <t>2/3 of B1 (125.55)(Limit of buying power right now.)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</si>
  <si>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3/27/2015</t>
    </r>
  </si>
  <si>
    <r>
      <t xml:space="preserve">B1 (21.24)  </t>
    </r>
    <r>
      <rPr>
        <b/>
        <sz val="10"/>
        <color theme="1"/>
        <rFont val="Calibri"/>
        <family val="2"/>
        <scheme val="minor"/>
      </rPr>
      <t xml:space="preserve">Sell Rule #2, Immediately at opening. </t>
    </r>
  </si>
  <si>
    <t xml:space="preserve">B2 (21.73)  Sell Rule #2, Immediately at opening. </t>
  </si>
  <si>
    <t xml:space="preserve">B3 (22.15)  Sell Rule #2, Immediately at opening. </t>
  </si>
  <si>
    <t xml:space="preserve">A1 (23.40) Earnings Report (ER)  Sell Rule #2, Immediately at opening. </t>
  </si>
  <si>
    <t>At profit goal after SR #14 Time Goal</t>
  </si>
  <si>
    <t>1/3 of B1 (20.00) (Selling SWKS today)</t>
  </si>
  <si>
    <t>B3 (23.50, $12K)</t>
  </si>
  <si>
    <t>2/3 of B1 (125.55)(Limit of buying power right now.)  SR #12</t>
  </si>
  <si>
    <t xml:space="preserve">Never had buying power for more before it faltered.  </t>
  </si>
  <si>
    <t>Compound Annual Growth Rate (CAGR)</t>
  </si>
  <si>
    <t>B2 (196.53) Sell Rule #12, Failed Breakout</t>
  </si>
  <si>
    <t>Sell Rule #12.  The breakout failed after presentation at</t>
  </si>
  <si>
    <t>sold in after-market trade after 5% plunge and no bounce.</t>
  </si>
  <si>
    <t xml:space="preserve">Sell Rule #2.  Sell immediately at the opening, at the goal.  </t>
  </si>
  <si>
    <t>Sell Rule #12, or SR#1 in another 30 minutes.  It just failed</t>
  </si>
  <si>
    <t>ORLY</t>
  </si>
  <si>
    <t>B1 (214.25), B2 (219.35), B3 (223.60)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</si>
  <si>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Good Friday, 4/3/2015</t>
    </r>
  </si>
  <si>
    <t>B2 (219.34); B3 (223.60)</t>
  </si>
  <si>
    <t xml:space="preserve">B1 (214.25), B2 (219.35), </t>
  </si>
  <si>
    <t xml:space="preserve">A2(149.45) 3WT, 4-WK SBB.  </t>
  </si>
  <si>
    <t>A1 (73.60), New High after little pull-back</t>
  </si>
  <si>
    <t>3WT</t>
  </si>
  <si>
    <t>B3 (59.20, $7.2K)</t>
  </si>
  <si>
    <t>B2 (58.00)</t>
  </si>
  <si>
    <t xml:space="preserve">A1 (25.70) New high breakout.  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</si>
  <si>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4/10/2015</t>
    </r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</si>
  <si>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4/17/2015</t>
    </r>
  </si>
  <si>
    <t>A2 (156.10)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</si>
  <si>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4/24/2015</t>
    </r>
  </si>
  <si>
    <r>
      <t xml:space="preserve">B2 (113.60)  </t>
    </r>
    <r>
      <rPr>
        <b/>
        <sz val="10"/>
        <color theme="1"/>
        <rFont val="Calibri"/>
        <family val="2"/>
        <scheme val="minor"/>
      </rPr>
      <t>Sell Rule #2</t>
    </r>
  </si>
  <si>
    <t>B3 (117.00)  Sell Rule #2</t>
  </si>
  <si>
    <t>A1, (Continuation Gap Up, ER) After-Hours.  Sell Rule #2</t>
  </si>
  <si>
    <t>B1 (113.60) Early buy with volume.   Sell Rule #2.  TMR</t>
  </si>
  <si>
    <t xml:space="preserve">Sell Rule #2.  Long after the time goal.  </t>
  </si>
  <si>
    <t>Might have kept it for the base breakout, but wanted</t>
  </si>
  <si>
    <t xml:space="preserve">to move on to something new.  </t>
  </si>
  <si>
    <t>B1 (117.00)</t>
  </si>
  <si>
    <t xml:space="preserve">B2 (119.90) </t>
  </si>
  <si>
    <t>B3 (122.30)</t>
  </si>
  <si>
    <t>A3 Continuation bap up afer earnings</t>
  </si>
  <si>
    <r>
      <t xml:space="preserve">B1 (57.70)   </t>
    </r>
    <r>
      <rPr>
        <b/>
        <sz val="10"/>
        <color theme="1"/>
        <rFont val="Calibri"/>
        <family val="2"/>
        <scheme val="minor"/>
      </rPr>
      <t>POSSIBLE CLIMAX TOP?</t>
    </r>
  </si>
  <si>
    <t>A2 (30.72) Short Stroke</t>
  </si>
  <si>
    <t>B3 (223.60 - 225.00) Gap up ER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</si>
  <si>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5/1/2015</t>
    </r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</si>
  <si>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5/8/2015</t>
    </r>
  </si>
  <si>
    <r>
      <t xml:space="preserve">B1 (57.70)   </t>
    </r>
    <r>
      <rPr>
        <b/>
        <sz val="10"/>
        <color theme="1"/>
        <rFont val="Calibri"/>
        <family val="2"/>
        <scheme val="minor"/>
      </rPr>
      <t>POSSIBLE CLIMAX TOP, NOT YET</t>
    </r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</si>
  <si>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5/15/2015</t>
    </r>
  </si>
  <si>
    <t xml:space="preserve">A2 (77.49) 5-wk Flat or Square Box Base add 30%.  </t>
  </si>
  <si>
    <t xml:space="preserve">A1 Continuation Gap Up after Earnings </t>
  </si>
  <si>
    <r>
      <t xml:space="preserve">1/3 B1 (57.50) Limit of Buying Power  </t>
    </r>
    <r>
      <rPr>
        <b/>
        <sz val="10"/>
        <color rgb="FFFF0000"/>
        <rFont val="Calibri"/>
        <family val="2"/>
        <scheme val="minor"/>
      </rPr>
      <t>HOLD THIS STOCK LONGER</t>
    </r>
  </si>
  <si>
    <t>A4 12 of 15 days up</t>
  </si>
  <si>
    <t>A2 12 of 15 days up.  First last week, but passed it then</t>
  </si>
  <si>
    <t>A3 (158.24) 50-DAY, NEW HIGH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</si>
  <si>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5/22/2015</t>
    </r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</si>
  <si>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5/29/2015</t>
    </r>
  </si>
  <si>
    <r>
      <t xml:space="preserve">B3 (66.04)  </t>
    </r>
    <r>
      <rPr>
        <b/>
        <sz val="10"/>
        <color rgb="FFFF0000"/>
        <rFont val="Calibri"/>
        <family val="2"/>
        <scheme val="minor"/>
      </rPr>
      <t>CLIMAX TOP!</t>
    </r>
  </si>
  <si>
    <t>CT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</si>
  <si>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6/5/2015</t>
    </r>
  </si>
  <si>
    <t>SR #10</t>
  </si>
  <si>
    <t>SR #11</t>
  </si>
  <si>
    <t>SR #12</t>
  </si>
  <si>
    <t xml:space="preserve">A3 12 of 15 days up. </t>
  </si>
  <si>
    <t>B1 (41.00) STL on Handle Highs</t>
  </si>
  <si>
    <t>B2 (42.00) B3 (42.85)</t>
  </si>
  <si>
    <t xml:space="preserve">Sell rule #2, just after the sell rule #14 eight weeks. 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</si>
  <si>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6/12/2015</t>
    </r>
  </si>
  <si>
    <t xml:space="preserve">B3 (42.85) </t>
  </si>
  <si>
    <t xml:space="preserve">B2 (42.00) </t>
  </si>
  <si>
    <t xml:space="preserve">Sell Rule #2.  Time goal reached last week. </t>
  </si>
  <si>
    <t>B1 (47.00)</t>
  </si>
  <si>
    <t>B3 (49.20)</t>
  </si>
  <si>
    <t>B2 (48.20)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</si>
  <si>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6/19/2015</t>
    </r>
  </si>
  <si>
    <t>1/3 B1 (57.50) Limit of Buying Power  Climas Top, SR #24</t>
  </si>
  <si>
    <t>A1 (73.60), New High after little pull-back  CLIMAX TOP!</t>
  </si>
  <si>
    <t>A3 12 of 15 days up. CLIMAX TOP!</t>
  </si>
  <si>
    <t xml:space="preserve">A1 (61.98) 50-DAY, ADD JUST 10% NEAR B3.  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</si>
  <si>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6/26/2015</t>
    </r>
  </si>
  <si>
    <t xml:space="preserve">B1 (82.60) ST:L </t>
  </si>
  <si>
    <t>BREAKOUT DATE</t>
  </si>
  <si>
    <t>B2 (84.60)</t>
  </si>
  <si>
    <t>B3 (86.17)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</si>
  <si>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- 4TH of July Friday, 7/3/2015</t>
    </r>
  </si>
  <si>
    <t>A5 (~111.60) 10-WK BOUNCE, S&amp;P 400 ADD</t>
  </si>
  <si>
    <t>A2 (~65.00) New High after one-week pull-back,  Russell Rebalancing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</si>
  <si>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7/10/2015</t>
    </r>
  </si>
  <si>
    <t>A1 (44.70) 10-WK BOUNCE, EARLY FOR THIS ADD-ON</t>
  </si>
  <si>
    <t>A1 (55.35) New High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</si>
  <si>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7/17/2015</t>
    </r>
  </si>
  <si>
    <t>A5 (~111.60) 10-WK BOUNCE, S&amp;P 400 ADD, and 3WT</t>
  </si>
  <si>
    <t>B1 (132.70)  Sell Rule #2, Used stop/limit order; TMR</t>
  </si>
  <si>
    <t>B2 (136.00) B3  This one has been soooo slow.  TMR</t>
  </si>
  <si>
    <t>1/2 of A1 (44.70) 10-WK BOUNCE, EARLY FOR THIS ADD-ON</t>
  </si>
  <si>
    <t>1/2 of A1 (46.65) 10-WK BOUNCE</t>
  </si>
  <si>
    <r>
      <t xml:space="preserve">B1 (47.00).  </t>
    </r>
    <r>
      <rPr>
        <b/>
        <sz val="10"/>
        <color theme="1"/>
        <rFont val="Calibri"/>
        <family val="2"/>
        <scheme val="minor"/>
      </rPr>
      <t xml:space="preserve">AT PRICE GOAL, BUT NOT TIME GOAL. </t>
    </r>
  </si>
  <si>
    <t xml:space="preserve">A1 Continuation gap up, buy button news. </t>
  </si>
  <si>
    <t xml:space="preserve">Sell rule #2. after many weeks of sideways basing. </t>
  </si>
  <si>
    <t xml:space="preserve">New breakout.  Might have held it, but was tired of </t>
  </si>
  <si>
    <t>the very slow movement.  Decided to take the money and run.</t>
  </si>
  <si>
    <t>B3 (139.00)  Might keep, but don't want it, but SR #2 now</t>
  </si>
  <si>
    <t xml:space="preserve">A2 (156.10)  Sell Rule #2, now.  </t>
  </si>
  <si>
    <t>B1, (66.80) After selling ULTA</t>
  </si>
  <si>
    <t>B2( 69.68)</t>
  </si>
  <si>
    <t>B3 (71.40)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</si>
  <si>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7/24/2015</t>
    </r>
  </si>
  <si>
    <t>A6, 12 of 15 days up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</si>
  <si>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7/31/2015</t>
    </r>
  </si>
  <si>
    <t>A2 10-Week bounce, 2nd, and Earnings Report, 10% only</t>
  </si>
  <si>
    <t>A7 Continuation gap up.  Wait to be sure it holds up. 20%</t>
  </si>
  <si>
    <t>A1 New high, handle breakout, add 20%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</si>
  <si>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8/7/2015</t>
    </r>
  </si>
  <si>
    <t>B1 (57.09)  SR #2, Brokert Stop Sell Order</t>
  </si>
  <si>
    <t xml:space="preserve">B2 (58.00)  SR #2 Broker Stop Sell Order, no limit.  </t>
  </si>
  <si>
    <t>B3 (59.20, $7.2K)  SR #2, Brokert Stop Sell Order</t>
  </si>
  <si>
    <t xml:space="preserve">A1 (61.98) 50-DAY, ADD JUST 10% NEAR B3.  SR #2 </t>
  </si>
  <si>
    <t>Sell rule #2.  Used broker sell stop w/o limit placed</t>
  </si>
  <si>
    <t xml:space="preserve">soon after the opeing bell this day. </t>
  </si>
  <si>
    <t xml:space="preserve">A2 10-Week bounce, and earnings report.  </t>
  </si>
  <si>
    <r>
      <t xml:space="preserve">B1, (66.80) After selling ULTA  </t>
    </r>
    <r>
      <rPr>
        <b/>
        <sz val="10"/>
        <color theme="1"/>
        <rFont val="Calibri"/>
        <family val="2"/>
        <scheme val="minor"/>
      </rPr>
      <t>AT PRICE GOAL, NOT TIME</t>
    </r>
    <r>
      <rPr>
        <sz val="10"/>
        <color theme="1"/>
        <rFont val="Calibri"/>
        <family val="2"/>
        <scheme val="minor"/>
      </rPr>
      <t xml:space="preserve"> </t>
    </r>
  </si>
  <si>
    <t>ABMC</t>
  </si>
  <si>
    <t>A2 Continuation Gap Up</t>
  </si>
  <si>
    <t>B1, S+$3 (36.85) After Earnings Release.</t>
  </si>
  <si>
    <t>B3 (37.50)</t>
  </si>
  <si>
    <t xml:space="preserve">B2 (37.10), </t>
  </si>
  <si>
    <t xml:space="preserve">B1 (57.70)   Climax Top, Slow to sell it.  </t>
  </si>
  <si>
    <t>B2 (59.10)  Climax Top, Slow to sell it.</t>
  </si>
  <si>
    <t>B3 (60.30)  Climax Top, Slow to sell it.</t>
  </si>
  <si>
    <t>A1 (Continuation Gap Up, ER)  Climax Top, Slow to sell it.</t>
  </si>
  <si>
    <t>A2 (70.35) New High After Pull-back  Climax Top, Slow to sell it.</t>
  </si>
  <si>
    <t>A3 Continuation bap up afer earnings  Climax Top, Slow to sell it.</t>
  </si>
  <si>
    <t>A4 12 of 15 days up  Climax Top, Slow to sell it.</t>
  </si>
  <si>
    <t>A6, 12 of 15 days up  Climax Top, Slow to sell it.</t>
  </si>
  <si>
    <t>A5 (~111.60) 10-WK BOUNCE, S&amp;P 400 ADD  Climax top</t>
  </si>
  <si>
    <t xml:space="preserve">Climax Top.  Should have sold in on 8/6/15. 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</si>
  <si>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8/14/2015</t>
    </r>
  </si>
  <si>
    <t>B1 (41.00) STL on Handle Highs  Sell Rule #2 &amp; #14</t>
  </si>
  <si>
    <t>B2 (42.00)  Sell Rule #2 &amp; #14</t>
  </si>
  <si>
    <t>B3 (42.85) Sell Rule #2 &amp; #14</t>
  </si>
  <si>
    <t>1/2 of A1 (46.65) 10-WK BOUNCESell Rule #2 &amp; #14</t>
  </si>
  <si>
    <t xml:space="preserve">Sell Rule #2 on day of Sell Rule #14.  </t>
  </si>
  <si>
    <r>
      <t xml:space="preserve">B1 (57.70)   </t>
    </r>
    <r>
      <rPr>
        <b/>
        <sz val="10"/>
        <color theme="1"/>
        <rFont val="Calibri"/>
        <family val="2"/>
        <scheme val="minor"/>
      </rPr>
      <t>PROBABLY CLIMAX TOP - RIGHT NOW</t>
    </r>
  </si>
  <si>
    <r>
      <t xml:space="preserve">B1 (47.00).  </t>
    </r>
    <r>
      <rPr>
        <b/>
        <sz val="10"/>
        <color theme="1"/>
        <rFont val="Calibri"/>
        <family val="2"/>
        <scheme val="minor"/>
      </rPr>
      <t xml:space="preserve">AT TIME GOAL, BUT NOT PRICE GOAL. </t>
    </r>
  </si>
  <si>
    <t>SOLD SHORT, Late Stage Base Failure.  CT last year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</si>
  <si>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8/21/2015</t>
    </r>
  </si>
  <si>
    <t>B1 (214.25), B2 (219.35),  Sell Rule #6 - Gap Down Big Vol</t>
  </si>
  <si>
    <t>B2 (219.34); B3 (223.60)   Sell Rule #6 - Gap Down Big Vol</t>
  </si>
  <si>
    <t>B3 (223.60 - 225.00) Gap up ER   Sell Rule #6 - Gap Down Big Vol</t>
  </si>
  <si>
    <r>
      <t xml:space="preserve">B1 (47.00).  </t>
    </r>
    <r>
      <rPr>
        <b/>
        <sz val="10"/>
        <color theme="1"/>
        <rFont val="Calibri"/>
        <family val="2"/>
        <scheme val="minor"/>
      </rPr>
      <t xml:space="preserve">Sell Rule #2.  Lucky gap up.  </t>
    </r>
  </si>
  <si>
    <t>B2 (48.20)  Sell Rule #2</t>
  </si>
  <si>
    <t>B3 (49.20)  Sell Rule #2</t>
  </si>
  <si>
    <t>A1 (55.35) New High  Sell Rule #2</t>
  </si>
  <si>
    <t>A2 10-Week bounce, and earnings report.  Sell Rule #2</t>
  </si>
  <si>
    <t xml:space="preserve">B1 (82.60) STL  Sell  Rule #6 and #5.  </t>
  </si>
  <si>
    <t>B2 (84.60)  Sell  Rule #6 and #5</t>
  </si>
  <si>
    <t>B3 (86.17)  Sell  Rule #6 and #5</t>
  </si>
  <si>
    <t>A1 Continuation gap up, buy button news.   Sell Rule #1</t>
  </si>
  <si>
    <r>
      <t xml:space="preserve">B1, (66.80) After selling ULTA  </t>
    </r>
    <r>
      <rPr>
        <b/>
        <sz val="10"/>
        <color theme="1"/>
        <rFont val="Calibri"/>
        <family val="2"/>
        <scheme val="minor"/>
      </rPr>
      <t>SR #6, Gap down +78% volume</t>
    </r>
  </si>
  <si>
    <t>B2( 69.68)  SR #6, Gap down +78% volume</t>
  </si>
  <si>
    <t>B3 (71.40)  SR #6, Gap down +78% volume</t>
  </si>
  <si>
    <t>A1 New high, handle breakout, add 20%  SR #6, Gap down +78% volume</t>
  </si>
  <si>
    <t>A2 Continuation Gap Up  SR #6, Gap down +78% volume</t>
  </si>
  <si>
    <t>HARM</t>
  </si>
  <si>
    <t>HAR</t>
  </si>
  <si>
    <t>SHORT</t>
  </si>
  <si>
    <t>SOLD SHORT, H&amp;S, Leaderbarod Cut List, Black Cross</t>
  </si>
  <si>
    <t xml:space="preserve">Sell rule #2.  Held to end of the day.  </t>
  </si>
  <si>
    <t xml:space="preserve">SOLD SHORT, Late Stage Base Failure.  </t>
  </si>
  <si>
    <t xml:space="preserve">Sell rule #6.  Gapped down below the 50-day on very huge </t>
  </si>
  <si>
    <t>volume.  It is broken for today anyway.  No bounce so far</t>
  </si>
  <si>
    <t xml:space="preserve">get out now.  </t>
  </si>
  <si>
    <t>Sell rule #6.  Gapped down then plunged all day.</t>
  </si>
  <si>
    <t xml:space="preserve">Record high volume.  Headed to close at the lows. </t>
  </si>
  <si>
    <t xml:space="preserve">Largest daily price decline on highest volume.  Get out. </t>
  </si>
  <si>
    <t>Sell Rule #6.  Gapped down.  Volume +78%</t>
  </si>
  <si>
    <t xml:space="preserve">Might have held it, but market is terrible.  Many stocks </t>
  </si>
  <si>
    <t xml:space="preserve">breaking down.  Take the sell signal and go.  </t>
  </si>
  <si>
    <t xml:space="preserve">It is close to triggering Sell Rule #3.  </t>
  </si>
  <si>
    <t>Long</t>
  </si>
  <si>
    <t>Short</t>
  </si>
  <si>
    <t>Net Long</t>
  </si>
  <si>
    <t>% Net Long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</si>
  <si>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8/28/2015</t>
    </r>
  </si>
  <si>
    <t>Made the goal on Friday.  Didn't see that until the weekend</t>
  </si>
  <si>
    <t>Planned to cover first thing Monday.  Did so, immediately</t>
  </si>
  <si>
    <t xml:space="preserve">Covered when the +20% goal was reached, though </t>
  </si>
  <si>
    <t>hesitated a few minutes to watch what the market</t>
  </si>
  <si>
    <t xml:space="preserve">was doing.  </t>
  </si>
  <si>
    <t xml:space="preserve">Waited to see if it might break lower to $180 again.  </t>
  </si>
  <si>
    <t xml:space="preserve">Up on high volume this day 8/26/15, so cover now.  </t>
  </si>
  <si>
    <t>DY</t>
  </si>
  <si>
    <t>B1, S+$3 (65.25) After Earnings Release.  Big support seen</t>
  </si>
  <si>
    <t>B3 (69.40)</t>
  </si>
  <si>
    <t>B2 (66.60)</t>
  </si>
  <si>
    <t>B1 (139.03) S+$3</t>
  </si>
  <si>
    <t>TYL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</si>
  <si>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9/4/2015</t>
    </r>
  </si>
  <si>
    <t>MOH</t>
  </si>
  <si>
    <t>B1 (74.08) Revisit prior pivot point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</si>
  <si>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9/11/2015</t>
    </r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</si>
  <si>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9/18/2015</t>
    </r>
  </si>
  <si>
    <t>B2 (141.00)</t>
  </si>
  <si>
    <t>B3 (143.64)</t>
  </si>
  <si>
    <t>B2 (75.90)</t>
  </si>
  <si>
    <t>B3 (77.40)</t>
  </si>
  <si>
    <t xml:space="preserve">P </t>
  </si>
  <si>
    <t>B1, S+$3 (36.85) After Earnings Release.  Sell Rule #6</t>
  </si>
  <si>
    <t xml:space="preserve">B2 (37.10), Sell Rule #6, Gap Down on huge volume.  No revound. </t>
  </si>
  <si>
    <t xml:space="preserve">B3 (37.50)  Sell Rule #6, Gap Down on huge volume.  No revound. </t>
  </si>
  <si>
    <t>Sell Rule #6.  Gapped down.  Volume +400</t>
  </si>
  <si>
    <t xml:space="preserve">Moved to breakout yesterday, but that failed.  </t>
  </si>
  <si>
    <t>Secondary Offering.  Might have held it longer but the</t>
  </si>
  <si>
    <t xml:space="preserve">Market is not soft.  </t>
  </si>
  <si>
    <t>CRM</t>
  </si>
  <si>
    <t>B1 (71.50), B2 ()73.50)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</si>
  <si>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9/25/2015</t>
    </r>
  </si>
  <si>
    <t>B1 (74.08) Revisit prior pivot point.  Sell rule #5</t>
  </si>
  <si>
    <t>B2 (75.90)  Sell Rule #5</t>
  </si>
  <si>
    <t>B3 (77.40)  Sell Rule #1 &amp; Sell Rule #5</t>
  </si>
  <si>
    <t>Sell Rule #5.  Plunged 4.7% below the 50-day on +13%</t>
  </si>
  <si>
    <t xml:space="preserve">volume.  B3 is sell rule #1.  B1 and B2 are close. </t>
  </si>
  <si>
    <t xml:space="preserve">The Breakout has failed for a second time. </t>
  </si>
  <si>
    <t xml:space="preserve">Medical groups/sectors have gone weak, politics.  </t>
  </si>
  <si>
    <t>B2 (73.50)K, B3 (74.70)</t>
  </si>
  <si>
    <t>B1 (71.50),</t>
  </si>
  <si>
    <t>IDTI</t>
  </si>
  <si>
    <t xml:space="preserve">B1 (20:42)  Sell Rule #12, Failed breakout.  </t>
  </si>
  <si>
    <t xml:space="preserve">B1 (28.60) STL.  Early buy.  </t>
  </si>
  <si>
    <t>Sell Rule #12 failed the very next day little gap down</t>
  </si>
  <si>
    <t xml:space="preserve">then no recovery all day.  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</si>
  <si>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10/2/2015</t>
    </r>
  </si>
  <si>
    <t>B1 (28.60) STL.  Early buy.  Sell Rule #18.  Breakout Didn't Happen</t>
  </si>
  <si>
    <t xml:space="preserve">B3 (74.70) </t>
  </si>
  <si>
    <t>B2 (73.50)K</t>
  </si>
  <si>
    <t xml:space="preserve">B1 (28.30) STL.  Early buy.  </t>
  </si>
  <si>
    <t xml:space="preserve">B2 (29.10) </t>
  </si>
  <si>
    <t>B3 (29.70)</t>
  </si>
  <si>
    <t>B1 (20.79)</t>
  </si>
  <si>
    <t>B1 (20.79), B2 (21.31), b3 (21.73)</t>
  </si>
  <si>
    <t>B1 (24.21), B2 (24.80), B3 (25.30)</t>
  </si>
  <si>
    <t>ULTI</t>
  </si>
  <si>
    <t>B1 (182.40), B2 (189.90), B3 (190.60)</t>
  </si>
  <si>
    <t xml:space="preserve">A1 Continuation gap up, news it is acauiring a company. 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</si>
  <si>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10/9/2015</t>
    </r>
  </si>
  <si>
    <t>B2 (24.80)</t>
  </si>
  <si>
    <t>B3 (25.30)</t>
  </si>
  <si>
    <t>B1 (24.21)</t>
  </si>
  <si>
    <t xml:space="preserve">B2 (21.31), B3 (21.73)  </t>
  </si>
  <si>
    <t>B1 (182.40), B2 (186.90)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</si>
  <si>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10/16/2015</t>
    </r>
  </si>
  <si>
    <t>B3 (21.73)</t>
  </si>
  <si>
    <t>B1 (182.40)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</si>
  <si>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10/23/2015</t>
    </r>
  </si>
  <si>
    <t>A1  10-Week Bounce</t>
  </si>
  <si>
    <t>A2 (170.64)</t>
  </si>
  <si>
    <t>B2 (186.90), B3 (190.60).  Sold for PM, Over Invested 105%)</t>
  </si>
  <si>
    <r>
      <t>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 - Friday, 10/30/2015</t>
    </r>
  </si>
  <si>
    <t xml:space="preserve">Sell Rule #3, delcine from the peak.  Rallied some after </t>
  </si>
  <si>
    <t xml:space="preserve">the earnigs report, but then sold off all day after the </t>
  </si>
  <si>
    <t xml:space="preserve">conference call, to close at the low for the day. </t>
  </si>
  <si>
    <r>
      <t>Closed Positions January 2015  Example CAN SLIM</t>
    </r>
    <r>
      <rPr>
        <b/>
        <sz val="22"/>
        <color theme="0"/>
        <rFont val="Calibri"/>
        <family val="2"/>
      </rPr>
      <t>®</t>
    </r>
    <r>
      <rPr>
        <b/>
        <sz val="22"/>
        <color theme="0"/>
        <rFont val="Arial"/>
        <family val="2"/>
      </rPr>
      <t xml:space="preserve"> Portfolio</t>
    </r>
  </si>
  <si>
    <t>B1 (28.30) STL.  Early buy.  Sell Rule #3, Decline from Peak</t>
  </si>
  <si>
    <t>B2 (29.10)  Sell Rule #3, Decline from Peak</t>
  </si>
  <si>
    <t>B3 (29.70)  Sell Rule #3, Decline from Peak</t>
  </si>
  <si>
    <t>B1 (182.40) B2 ($187) B3 (190.60)</t>
  </si>
  <si>
    <t>B2 (187.00) B3 (190.60)</t>
  </si>
  <si>
    <t xml:space="preserve">B1 (182.40) </t>
  </si>
  <si>
    <r>
      <t>Chronology &amp; Notes for CAN SLIM</t>
    </r>
    <r>
      <rPr>
        <sz val="22"/>
        <color theme="0"/>
        <rFont val="Calibri"/>
        <family val="2"/>
      </rPr>
      <t>® Example Portfoio January 2015</t>
    </r>
  </si>
  <si>
    <t xml:space="preserve"> #</t>
  </si>
  <si>
    <t>DAY</t>
  </si>
  <si>
    <t>DATE</t>
  </si>
  <si>
    <t>TIME</t>
  </si>
  <si>
    <t>STOCK</t>
  </si>
  <si>
    <t>Trade</t>
  </si>
  <si>
    <t># Shrs</t>
  </si>
  <si>
    <t>Total</t>
  </si>
  <si>
    <t>Pivot Pt</t>
  </si>
  <si>
    <t>COMMENTS</t>
  </si>
  <si>
    <t>MARKET</t>
  </si>
  <si>
    <t>B1</t>
  </si>
  <si>
    <t xml:space="preserve">Belive the market will resume uptrend soon.  It has history of doing that for last two years.  </t>
  </si>
  <si>
    <t xml:space="preserve">Bought early with volume.  </t>
  </si>
  <si>
    <t>B2</t>
  </si>
  <si>
    <t>Used the original pivot point for B2</t>
  </si>
  <si>
    <t>B3</t>
  </si>
  <si>
    <t xml:space="preserve">Early buy on price surge up with big volume.  Think the market will be in confirmed up trend soon. </t>
  </si>
  <si>
    <t>Early buy on jump up at the opening.   New confirmed uptrend</t>
  </si>
  <si>
    <t>Sell All</t>
  </si>
  <si>
    <t>Sell all, Sell Rule #12, the breakout failed after news due to company JP Morgan presentation</t>
  </si>
  <si>
    <t>Sell all, Sell Rule #3, decline from the peak, closing at the low for the day</t>
  </si>
  <si>
    <t>Early sloping trend line entry point</t>
  </si>
  <si>
    <t>Little gap up.  Buy it immediately</t>
  </si>
  <si>
    <t xml:space="preserve">Popped up in early trading, but missed while buyinig SWKS.  Worked out well.  </t>
  </si>
  <si>
    <t>5.5% Gap down after ER, no bounce.  Sell during after-hours trading.  Sell Rule #6.  Huge volume</t>
  </si>
  <si>
    <t xml:space="preserve">Used STL to make the B3.  </t>
  </si>
  <si>
    <t>Broke out last week.  Revisit the buy point.  Sold CMG</t>
  </si>
  <si>
    <t xml:space="preserve">Using full buying power so this IP is just $20K.  Portfolio is now working.  </t>
  </si>
  <si>
    <t>A1</t>
  </si>
  <si>
    <t>Continuation gap up after earnings release</t>
  </si>
  <si>
    <t xml:space="preserve">Go to fully invested.  Portfolio is working.  </t>
  </si>
  <si>
    <t xml:space="preserve">10-WEEK BOUNCE. </t>
  </si>
  <si>
    <t>A2</t>
  </si>
  <si>
    <t>New high after little pull-back</t>
  </si>
  <si>
    <t>Earnings report new high after gently pull-back</t>
  </si>
  <si>
    <t xml:space="preserve">A1 </t>
  </si>
  <si>
    <t>GU</t>
  </si>
  <si>
    <t>After-hours trade.  Continuation gap up after earnings release</t>
  </si>
  <si>
    <t>1/3 B1</t>
  </si>
  <si>
    <t>The most desriable stock.  Use the limit of buying power to get some</t>
  </si>
  <si>
    <t>Pre-market trade.  Continatuion gap up after the earnings release</t>
  </si>
  <si>
    <t>Sell Rule #6, gap down on huge volume.  No doubt - get out.  Then buy AMBA immediately</t>
  </si>
  <si>
    <t>B1&amp;B2</t>
  </si>
  <si>
    <t>Upped the IP to $36,000, sold AKRX for $36,218.  Already have $5,776 of AMBA</t>
  </si>
  <si>
    <t>Most desirable of all stocks.  Must buy the most possible</t>
  </si>
  <si>
    <t>A1, 10-WEEK BOUNCE</t>
  </si>
  <si>
    <t>SA</t>
  </si>
  <si>
    <t>Sell Rule #2, Profit Goal.  Might have applied S$ #10, but portofio is over invested.  Need Cash</t>
  </si>
  <si>
    <t>Increased IP to $36,000 after selling NXPI and AKRX</t>
  </si>
  <si>
    <t>2/3 of B1</t>
  </si>
  <si>
    <t xml:space="preserve">After ER.  2/3 of B1.  IP Size increased to $60,000 in anticipation of selling SWKS, MNST and UVE. </t>
  </si>
  <si>
    <t>1/3 Of B1</t>
  </si>
  <si>
    <t xml:space="preserve">Will sell SWKS today to raise cash for this buy.  </t>
  </si>
  <si>
    <t>Sell Rule #2 and Sell Rule #14 at same time, exactly at same time. TMR</t>
  </si>
  <si>
    <t>STL early.  Not the cleanest setup</t>
  </si>
  <si>
    <t xml:space="preserve">Sell Rule #2, immediatley just after the opeing bell.  Need buyin power and this has teased.  </t>
  </si>
  <si>
    <t>Sell B1</t>
  </si>
  <si>
    <t>Sell Rule #12, failed breakout.  SR #1 close at hand.  Never had buying power for more of CELG</t>
  </si>
  <si>
    <t xml:space="preserve">Immediately stalled. This brekaout hasn't happened yet.  Might need to sell it.  </t>
  </si>
  <si>
    <t xml:space="preserve">IP using all $40,000 buying power.  NOAH might not work.  </t>
  </si>
  <si>
    <t>Note</t>
  </si>
  <si>
    <t xml:space="preserve">Portfolio stalled this week.  ZERO gain.  </t>
  </si>
  <si>
    <t>3WT and 4-week SBB</t>
  </si>
  <si>
    <t xml:space="preserve">Gapped up to new highs. Looks good to go.  </t>
  </si>
  <si>
    <t>New high breakout</t>
  </si>
  <si>
    <t xml:space="preserve">Broker buy stop. </t>
  </si>
  <si>
    <t xml:space="preserve">Gapped up to new highs. Looks good to go.  Then it stalled and sank.  </t>
  </si>
  <si>
    <t>12 of 15 straight up days.  Add ~20%</t>
  </si>
  <si>
    <t xml:space="preserve">Short stroke, add-on 20% more.  Not a perfect short stroke, but good enough. </t>
  </si>
  <si>
    <t>Gap up after the earnings report</t>
  </si>
  <si>
    <t xml:space="preserve">Going to sell MNST today or tomorrow.  IP size ofr NTES is $50,000, full buying power. </t>
  </si>
  <si>
    <t>A3</t>
  </si>
  <si>
    <r>
      <t xml:space="preserve">Using maintenance margin until MNST is sold soon, today.   </t>
    </r>
    <r>
      <rPr>
        <b/>
        <sz val="11"/>
        <color theme="1"/>
        <rFont val="Calibri"/>
        <family val="2"/>
        <scheme val="minor"/>
      </rPr>
      <t>Have SKX buying power.</t>
    </r>
    <r>
      <rPr>
        <sz val="11"/>
        <color theme="1"/>
        <rFont val="Calibri"/>
        <family val="2"/>
        <scheme val="minor"/>
      </rPr>
      <t xml:space="preserve">  </t>
    </r>
  </si>
  <si>
    <t>Full new position.  $50,000 IP</t>
  </si>
  <si>
    <t>Sell Rule #2.  Might have held it for a possible base breakout, but needed money for NTES</t>
  </si>
  <si>
    <t>A4</t>
  </si>
  <si>
    <t xml:space="preserve">Apply Sell Rule #22.  Hold this stock longer.  It is breakin out of another base.  </t>
  </si>
  <si>
    <t>Flat base, or SBB, nearly five weeks.  Add 30%, but not more because last add was just 5.6% lower.</t>
  </si>
  <si>
    <t>50-day bounce, now just 6% above prior add-on</t>
  </si>
  <si>
    <t xml:space="preserve">Exceeds profit goal.  Manage under sell rule #10 to extend the gains using the 10-day line. </t>
  </si>
  <si>
    <t>STL on handle highs.  Increase IP size to $150,000.  Have $80,000 BP, to sell NOAH soon</t>
  </si>
  <si>
    <t xml:space="preserve">Volume is not there yet.  </t>
  </si>
  <si>
    <t xml:space="preserve">Making a climax top, noted by IBD too.  Deluxe probleme to have. </t>
  </si>
  <si>
    <t>Met price goal on 4/22/15.  Just met time goal yesterday.  It has been choppy.  TMR</t>
  </si>
  <si>
    <t xml:space="preserve">Jumped up at the opening, then stalled out.  Still no breakout volume.  </t>
  </si>
  <si>
    <t xml:space="preserve">STL early buy point, nice looking, easy to see. Volume good.  IP size $150,000 like CBM.  NTES to be sold now. </t>
  </si>
  <si>
    <t xml:space="preserve">Big volume on this breakout, not like CBM.  NTES moving up.  Will be sold very soon.  </t>
  </si>
  <si>
    <t xml:space="preserve">Huge volume on this move.  </t>
  </si>
  <si>
    <t xml:space="preserve">Again reached sell Rule #2, goal 148.09, and Sell Rule #14 was 6/4/15.  Need the buying power now.  </t>
  </si>
  <si>
    <t>A1, 50-day and new high.  Add just 10% because still near the last buy, the B3</t>
  </si>
  <si>
    <t xml:space="preserve">Climax Top, down today on highest volume.   Relieves the buying power squeeze into maintenance margin. </t>
  </si>
  <si>
    <t xml:space="preserve">Vol. Light.  IP size $150,000.   Sold AMBA just before.  FB broke our yesterday.  Now have the buying power.  </t>
  </si>
  <si>
    <t xml:space="preserve">Buying power now $55,000 after buying FB and selling AMBA climax top.  $150,000 IP a bit large.  </t>
  </si>
  <si>
    <t xml:space="preserve">Little "gap" up.  Big volume is clear early.  </t>
  </si>
  <si>
    <t xml:space="preserve">Gigantic volume, early.  </t>
  </si>
  <si>
    <t>Sell rule #10, to extend the normal +25% profit goal using the 10-day line violation.  Very nice 38% IP winner</t>
  </si>
  <si>
    <t xml:space="preserve">New high after little pull-back, add-on 20% for current position.  </t>
  </si>
  <si>
    <t>A5</t>
  </si>
  <si>
    <t>10-week bounce and 3WT and ten up weeks, quiety;  add on 20% of current position</t>
  </si>
  <si>
    <t>1/2 A1</t>
  </si>
  <si>
    <t xml:space="preserve">10-week bounce, add just 10%.  Adding early here, just 3% above last buy point, so add just 10%.   </t>
  </si>
  <si>
    <t xml:space="preserve">10-week bounce, add the second 10% now above 6% of the B3.  </t>
  </si>
  <si>
    <t xml:space="preserve">Sell Rule #2.  Just broke out of new base, so might have kept it, but want to buy ABMD instead.  ULTA is too slow.  </t>
  </si>
  <si>
    <t>B1 now that buying power if available.  Wanted to buy in on 7/10/15.  IP is maximum buying power, $80,000.</t>
  </si>
  <si>
    <t xml:space="preserve">Continuation gap up, highly visible before the market opened.  Buy button news.  New up trend, FTD on Nasdaq </t>
  </si>
  <si>
    <t>69.68)</t>
  </si>
  <si>
    <t xml:space="preserve">This might be the real breakout day.   New market rally and a new Nasdaq Comp index high. </t>
  </si>
  <si>
    <t xml:space="preserve">This is the breakout day, but volume is only +28%.  This looks good.  </t>
  </si>
  <si>
    <t>A6</t>
  </si>
  <si>
    <t>12 of 15 straight up days.  Add 20% of  current position</t>
  </si>
  <si>
    <t>A7</t>
  </si>
  <si>
    <t xml:space="preserve">Continuation gap up after earnings release.  MAY BE CLIMACTIC.  MAYBE SHOULD SELL ALL NOT BUY MORE? </t>
  </si>
  <si>
    <t>New high, handle breakout.  Add 20% of current position</t>
  </si>
  <si>
    <t>A2, 10-Week bounce and Earnings report, but add-on only 10% becaseu last add was for 46.90, up only 3%</t>
  </si>
  <si>
    <t xml:space="preserve">Continuation gap up  after the earnings release.  Add 20% of current position.  </t>
  </si>
  <si>
    <t>Sell rule #2.  Used broker stop sell order for 71.25, w/o limit.  TMR</t>
  </si>
  <si>
    <t xml:space="preserve">Sell rule #2 when just reached 40 days, eight weeks, Sell Rule #14.  </t>
  </si>
  <si>
    <t>Shakeout +$3 on just after the earnings release.  Premarket/post-market was too thin to work.  $200,00 IP</t>
  </si>
  <si>
    <t xml:space="preserve">Huge volume on this move.  Had ~$300,000 buying power before PAYC.  </t>
  </si>
  <si>
    <t xml:space="preserve">This is a solid breakout.  </t>
  </si>
  <si>
    <t xml:space="preserve">Late stage base failure after earnings release.  Climax top last year.  </t>
  </si>
  <si>
    <t>10-week bounce after the earnings release, waited until later in the day to be sure the bounce was good</t>
  </si>
  <si>
    <t xml:space="preserve">Leaderbarod cut list.  H&amp;S.  Bounce off 10-week resistance, second time in a week. </t>
  </si>
  <si>
    <t xml:space="preserve">Sell rule #2.  Lucky surge up after Morgan Stanley raised the price target.  Held to the end of the day. </t>
  </si>
  <si>
    <t>Big Cushion Sell Rules, Climax top</t>
  </si>
  <si>
    <t>Late stage base failure after earnings release.  MS raised price target, then it stalled off the 50-day . Shorts working</t>
  </si>
  <si>
    <t xml:space="preserve">Sell Rule #6, gapped down, below the 50-day.  Very high volume.  No sign of recovery.  </t>
  </si>
  <si>
    <t>Sell Rule #6.  Plunging to close at low of day on +120% volume, hjuge volume.  Biggest one day decline, biggest volume.</t>
  </si>
  <si>
    <t xml:space="preserve">Sell Rule #6.  Recovered some, but close to the sell rule #3.  Sell in now and buy back if it recovers. </t>
  </si>
  <si>
    <t>Cover All</t>
  </si>
  <si>
    <t xml:space="preserve">Should have covered Friday, but missed the late decline.  Planned to cover first thing Monday, and did. </t>
  </si>
  <si>
    <t xml:space="preserve">Exceeded the profit target.  Hesitated a few minutes because of market tumolt.  </t>
  </si>
  <si>
    <t xml:space="preserve">Shakeou +$3, just after the earnings report.  It sagged in ealry trading but revovered.  </t>
  </si>
  <si>
    <t xml:space="preserve">Rallying on big volume.  Found support at $180.  Need to cover it now.  </t>
  </si>
  <si>
    <t>Early volume is high, more than +100%</t>
  </si>
  <si>
    <t xml:space="preserve">Another Shakeout +$3 setup.  This stock is a bit thin.  </t>
  </si>
  <si>
    <t xml:space="preserve">MOH revisits the pivot point.  RS line is high and up.  </t>
  </si>
  <si>
    <t xml:space="preserve">Tiny volume on this move up.  It jumped up, but no volume came in all day. </t>
  </si>
  <si>
    <t xml:space="preserve">Big volume for this one.  </t>
  </si>
  <si>
    <t xml:space="preserve">Little jump up at opening.  New market rally.  </t>
  </si>
  <si>
    <t>Some volume on this breakout, but still a bit light</t>
  </si>
  <si>
    <t xml:space="preserve">Shakeout + $3 just above the 50-day on barely above average volume.  Just okay, barely.  </t>
  </si>
  <si>
    <t xml:space="preserve">It failed Sell rule #6, gap down on huge volume, closing at lows of the day.  SO today.  Second breakout try failed. </t>
  </si>
  <si>
    <t xml:space="preserve">Pattern recognition see this C/H.  It looks early.  </t>
  </si>
  <si>
    <t>Failed Fast.  Sell Rule #12 the brekeout failed with a little gap down, and no recovery by the close this day</t>
  </si>
  <si>
    <t xml:space="preserve">Bought a little early when it gapped up this a.m. </t>
  </si>
  <si>
    <t xml:space="preserve">It touched the buy point.  </t>
  </si>
  <si>
    <t xml:space="preserve">It failed.  Sell rule #5, plunged 4.7% below the 50-day on above average volume.  Closed at the low of the day.  </t>
  </si>
  <si>
    <t xml:space="preserve">Sell Rule #18.  The breakout didn't happen.  Bought early and it just didn't go yet.  This, so don't heitate to exit. </t>
  </si>
  <si>
    <t>STl breakout, volume seems to be big very early</t>
  </si>
  <si>
    <t xml:space="preserve">Very big volume, +180%  and solid price move.  </t>
  </si>
  <si>
    <t>Big volume breakout, +150%</t>
  </si>
  <si>
    <t xml:space="preserve">Continuation gap up on news it is acauiring a company.  </t>
  </si>
  <si>
    <t>Volume is not there yet.  Market F-T day on both indexes</t>
  </si>
  <si>
    <t>F-T Day</t>
  </si>
  <si>
    <t xml:space="preserve">Volume is not there yet.  Market F-T day.  </t>
  </si>
  <si>
    <t xml:space="preserve">Buy early because of high volume regaining of the 50-day line.  Market F-T day.  </t>
  </si>
  <si>
    <t>STL entry.  This is a F-T day on the market on both indexes</t>
  </si>
  <si>
    <t>10-Week bounce, the first.  New market rally</t>
  </si>
  <si>
    <t xml:space="preserve">No volume yet.  </t>
  </si>
  <si>
    <t xml:space="preserve">Very light volue so far. </t>
  </si>
  <si>
    <t>Light volume on this breakourt</t>
  </si>
  <si>
    <t>Sell B2</t>
  </si>
  <si>
    <t xml:space="preserve">Portfolio is over invested at 105%.  Sell ULTI B2.  Least performer, and thinnest trades. </t>
  </si>
  <si>
    <t xml:space="preserve">Light volume on this breakout.  Not inspiring. </t>
  </si>
  <si>
    <t>New high after light pull-back</t>
  </si>
  <si>
    <t>Sell Rule #3 sell point 32.05.  Terrible negaitve reversal after the Earnings Conference Call.  Steady selling all day</t>
  </si>
  <si>
    <t>Year</t>
  </si>
  <si>
    <t>January 2015</t>
  </si>
  <si>
    <t>Febuary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</si>
  <si>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</si>
  <si>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</si>
  <si>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</si>
  <si>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</si>
  <si>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</si>
  <si>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</si>
  <si>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</si>
  <si>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</si>
  <si>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</si>
  <si>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Week of Rally</t>
  </si>
  <si>
    <t>Week Ending Friday Dates</t>
  </si>
  <si>
    <t>Order Bought</t>
  </si>
  <si>
    <t>IBD 100/50</t>
  </si>
  <si>
    <t>Leaderboard</t>
  </si>
  <si>
    <t>Sector Leader</t>
  </si>
  <si>
    <t>Big Cap 20</t>
  </si>
  <si>
    <t>Stock Spotlight</t>
  </si>
  <si>
    <t>YWR</t>
  </si>
  <si>
    <t>ROE + PTM</t>
  </si>
  <si>
    <t>Accel EPS &amp; Rev</t>
  </si>
  <si>
    <t>MC 2</t>
  </si>
  <si>
    <t>29%-29%</t>
  </si>
  <si>
    <t>Percent Demand</t>
  </si>
  <si>
    <t>Supp/Demand</t>
  </si>
  <si>
    <t>Composite Rating</t>
  </si>
  <si>
    <t>EPS Rating</t>
  </si>
  <si>
    <t>RS Rating</t>
  </si>
  <si>
    <t>Base Stage</t>
  </si>
  <si>
    <t>Buy Date</t>
  </si>
  <si>
    <t>Money From</t>
  </si>
  <si>
    <t>Sold All Date</t>
  </si>
  <si>
    <t>Sell Rule</t>
  </si>
  <si>
    <t>IP % G/L</t>
  </si>
  <si>
    <t>Overall Percent Gain/Loss</t>
  </si>
  <si>
    <t>CAGR</t>
  </si>
  <si>
    <t>Dollars Gain/Loss</t>
  </si>
  <si>
    <t>1/23/1015</t>
  </si>
  <si>
    <t>Number of Stocks at End of Week</t>
  </si>
  <si>
    <t>Percent Invested Net Long (0-100%)</t>
  </si>
  <si>
    <t>Y</t>
  </si>
  <si>
    <t>Cash</t>
  </si>
  <si>
    <t>SR #2, 22%</t>
  </si>
  <si>
    <t>SR#6 ,-7%</t>
  </si>
  <si>
    <t>.</t>
  </si>
  <si>
    <t>Margin</t>
  </si>
  <si>
    <t>SR#2</t>
  </si>
  <si>
    <t>2,14</t>
  </si>
  <si>
    <t>CELG,UVE</t>
  </si>
  <si>
    <t>UVE,CELG</t>
  </si>
  <si>
    <t>2, 14</t>
  </si>
  <si>
    <t>Margin,NTES</t>
  </si>
  <si>
    <t>Margin, NOAH</t>
  </si>
  <si>
    <t>CMB</t>
  </si>
  <si>
    <t>NOAH,NETS</t>
  </si>
  <si>
    <t>NOAH,NTES</t>
  </si>
  <si>
    <t>AMBA, PANW</t>
  </si>
  <si>
    <t>AMBA, PAMW</t>
  </si>
  <si>
    <t>CBM, AFSI</t>
  </si>
  <si>
    <t>6, 12</t>
  </si>
  <si>
    <t>Sold Short</t>
  </si>
  <si>
    <t>ILMN, TSLA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</si>
</sst>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/d/yy\ h:mm;@"/>
    <numFmt numFmtId="165" formatCode="0.0%"/>
    <numFmt numFmtId="166" formatCode="m/d/yy;@"/>
    <numFmt numFmtId="167" formatCode="0.0"/>
    <numFmt numFmtId="168" formatCode="m/d/yyyy;@"/>
  </numFmts>
  <fonts count="6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8080"/>
      <name val="Arial"/>
      <family val="2"/>
    </font>
    <font>
      <b/>
      <sz val="10"/>
      <color rgb="FF0000CC"/>
      <name val="Arial"/>
      <family val="2"/>
    </font>
    <font>
      <b/>
      <sz val="10"/>
      <color rgb="FF339966"/>
      <name val="Arial"/>
      <family val="2"/>
    </font>
    <font>
      <b/>
      <sz val="10"/>
      <color rgb="FF0000FF"/>
      <name val="Arial"/>
      <family val="2"/>
    </font>
    <font>
      <sz val="8"/>
      <color theme="1"/>
      <name val="Calibri"/>
      <family val="2"/>
      <scheme val="minor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name val="Tahoma"/>
      <family val="2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MS Sans Serif"/>
      <family val="2"/>
    </font>
    <font>
      <sz val="11"/>
      <color rgb="FF333333"/>
      <name val="Arial"/>
      <family val="2"/>
    </font>
    <font>
      <b/>
      <sz val="22"/>
      <color theme="0"/>
      <name val="Calibri"/>
      <family val="2"/>
    </font>
    <font>
      <b/>
      <sz val="11"/>
      <color rgb="FF333333"/>
      <name val="Arial"/>
      <family val="2"/>
    </font>
    <font>
      <b/>
      <sz val="11"/>
      <color theme="0" tint="-0.1499900072813034"/>
      <name val="Calibri"/>
      <family val="2"/>
      <scheme val="minor"/>
    </font>
    <font>
      <b/>
      <sz val="11"/>
      <color theme="0" tint="-0.1499900072813034"/>
      <name val="Arial"/>
      <family val="2"/>
    </font>
    <font>
      <b/>
      <sz val="10"/>
      <color rgb="FFFF0000"/>
      <name val="Calibri"/>
      <family val="2"/>
      <scheme val="minor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 tint="-0.24997000396251678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color theme="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 tint="-0.1499900072813034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6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 horizontal="center"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24" fillId="7" borderId="7" applyNumberFormat="0" applyAlignment="0" applyProtection="0"/>
    <xf numFmtId="0" fontId="8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Protection="0">
      <alignment/>
    </xf>
    <xf numFmtId="0" fontId="16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43" fontId="1" fillId="0" borderId="0" applyFont="0" applyFill="0" applyBorder="0" applyAlignment="0" applyProtection="0"/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0" fillId="0" borderId="0">
      <alignment/>
      <protection/>
    </xf>
    <xf numFmtId="0" fontId="16" fillId="0" borderId="0" applyProtection="0">
      <alignment/>
    </xf>
    <xf numFmtId="0" fontId="16" fillId="0" borderId="0" applyProtection="0">
      <alignment/>
    </xf>
    <xf numFmtId="0" fontId="1" fillId="0" borderId="0">
      <alignment/>
      <protection/>
    </xf>
    <xf numFmtId="0" fontId="16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8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6" fillId="0" borderId="0" applyProtection="0">
      <alignment/>
    </xf>
    <xf numFmtId="0" fontId="0" fillId="0" borderId="0">
      <alignment/>
      <protection/>
    </xf>
    <xf numFmtId="0" fontId="16" fillId="0" borderId="0" applyProtection="0">
      <alignment/>
    </xf>
    <xf numFmtId="0" fontId="37" fillId="0" borderId="0">
      <alignment/>
      <protection/>
    </xf>
    <xf numFmtId="0" fontId="37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" fillId="0" borderId="0">
      <alignment/>
      <protection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8" applyNumberFormat="0" applyFont="0" applyAlignment="0" applyProtection="0"/>
    <xf numFmtId="0" fontId="0" fillId="0" borderId="0">
      <alignment/>
      <protection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0" borderId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8" borderId="8" applyNumberFormat="0" applyFont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7">
    <xf numFmtId="0" fontId="0" fillId="0" borderId="0" xfId="0"/>
    <xf numFmtId="2" fontId="0" fillId="0" borderId="0" xfId="0" applyNumberFormat="1"/>
    <xf numFmtId="0" fontId="4" fillId="0" borderId="0" xfId="0" applyFont="1"/>
    <xf numFmtId="164" fontId="4" fillId="0" borderId="0" xfId="0" applyNumberFormat="1" applyFont="1"/>
    <xf numFmtId="2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2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2" fontId="5" fillId="33" borderId="0" xfId="0" applyNumberFormat="1" applyFont="1" applyFill="1"/>
    <xf numFmtId="0" fontId="1" fillId="0" borderId="0" xfId="0" applyFont="1" applyFill="1"/>
    <xf numFmtId="164" fontId="0" fillId="0" borderId="0" xfId="0" applyNumberFormat="1"/>
    <xf numFmtId="2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/>
    <xf numFmtId="165" fontId="0" fillId="0" borderId="0" xfId="0" applyNumberFormat="1" applyFill="1" applyBorder="1"/>
    <xf numFmtId="2" fontId="5" fillId="33" borderId="0" xfId="0" applyNumberFormat="1" applyFont="1" applyFill="1" applyAlignment="1">
      <alignment horizontal="right"/>
    </xf>
    <xf numFmtId="0" fontId="4" fillId="0" borderId="0" xfId="0" applyFont="1" applyFill="1"/>
    <xf numFmtId="164" fontId="2" fillId="0" borderId="0" xfId="0" applyNumberFormat="1" applyFont="1"/>
    <xf numFmtId="2" fontId="2" fillId="0" borderId="0" xfId="0" applyNumberFormat="1" applyFont="1"/>
    <xf numFmtId="3" fontId="2" fillId="0" borderId="0" xfId="0" applyNumberFormat="1" applyFont="1"/>
    <xf numFmtId="38" fontId="2" fillId="0" borderId="0" xfId="0" applyNumberFormat="1" applyFont="1"/>
    <xf numFmtId="165" fontId="0" fillId="0" borderId="0" xfId="0" applyNumberFormat="1"/>
    <xf numFmtId="0" fontId="7" fillId="0" borderId="0" xfId="0" applyFont="1"/>
    <xf numFmtId="38" fontId="0" fillId="0" borderId="0" xfId="0" applyNumberFormat="1" applyAlignment="1">
      <alignment/>
    </xf>
    <xf numFmtId="3" fontId="0" fillId="0" borderId="0" xfId="0" applyNumberFormat="1"/>
    <xf numFmtId="38" fontId="0" fillId="0" borderId="0" xfId="0" applyNumberFormat="1"/>
    <xf numFmtId="2" fontId="0" fillId="0" borderId="0" xfId="0" applyNumberFormat="1" applyAlignment="1">
      <alignment/>
    </xf>
    <xf numFmtId="2" fontId="5" fillId="0" borderId="0" xfId="0" applyNumberFormat="1" applyFont="1" applyFill="1" applyAlignment="1">
      <alignment horizontal="right"/>
    </xf>
    <xf numFmtId="14" fontId="0" fillId="0" borderId="0" xfId="0" applyNumberFormat="1"/>
    <xf numFmtId="165" fontId="0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" fontId="0" fillId="0" borderId="0" xfId="0" applyNumberFormat="1"/>
    <xf numFmtId="167" fontId="0" fillId="0" borderId="0" xfId="0" applyNumberFormat="1"/>
    <xf numFmtId="2" fontId="5" fillId="34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wrapText="1"/>
    </xf>
    <xf numFmtId="0" fontId="10" fillId="35" borderId="0" xfId="0" applyFont="1" applyFill="1" applyAlignment="1">
      <alignment horizontal="center" wrapText="1"/>
    </xf>
    <xf numFmtId="0" fontId="10" fillId="36" borderId="0" xfId="0" applyFont="1" applyFill="1" applyAlignment="1">
      <alignment horizontal="center" wrapText="1"/>
    </xf>
    <xf numFmtId="38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8" fillId="0" borderId="0" xfId="0" applyFont="1"/>
    <xf numFmtId="38" fontId="4" fillId="0" borderId="0" xfId="0" applyNumberFormat="1" applyFont="1"/>
    <xf numFmtId="0" fontId="12" fillId="0" borderId="0" xfId="0" applyFont="1"/>
    <xf numFmtId="38" fontId="12" fillId="0" borderId="0" xfId="0" applyNumberFormat="1" applyFont="1"/>
    <xf numFmtId="1" fontId="13" fillId="0" borderId="0" xfId="0" applyNumberFormat="1" applyFont="1"/>
    <xf numFmtId="0" fontId="11" fillId="0" borderId="0" xfId="0" applyFont="1"/>
    <xf numFmtId="166" fontId="15" fillId="0" borderId="0" xfId="0" applyNumberFormat="1" applyFont="1" applyFill="1" applyAlignment="1">
      <alignment horizontal="center"/>
    </xf>
    <xf numFmtId="14" fontId="0" fillId="0" borderId="0" xfId="0" applyNumberFormat="1" applyFill="1"/>
    <xf numFmtId="0" fontId="0" fillId="37" borderId="0" xfId="0" applyFill="1" applyAlignment="1">
      <alignment horizontal="center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6" fillId="0" borderId="0" xfId="0" applyFont="1"/>
    <xf numFmtId="167" fontId="0" fillId="0" borderId="0" xfId="0" applyNumberFormat="1" applyFill="1"/>
    <xf numFmtId="9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 applyFill="1"/>
    <xf numFmtId="166" fontId="0" fillId="0" borderId="0" xfId="0" applyNumberFormat="1"/>
    <xf numFmtId="0" fontId="0" fillId="35" borderId="0" xfId="0" applyFill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6" fillId="0" borderId="0" xfId="0" applyFont="1" applyFill="1"/>
    <xf numFmtId="165" fontId="0" fillId="0" borderId="0" xfId="0" applyNumberFormat="1" applyFont="1" applyFill="1"/>
    <xf numFmtId="0" fontId="11" fillId="0" borderId="0" xfId="0" applyFont="1" applyAlignment="1">
      <alignment horizontal="left"/>
    </xf>
    <xf numFmtId="168" fontId="0" fillId="0" borderId="0" xfId="0" applyNumberFormat="1"/>
    <xf numFmtId="3" fontId="0" fillId="0" borderId="0" xfId="0" applyNumberFormat="1" applyFill="1"/>
    <xf numFmtId="1" fontId="0" fillId="0" borderId="0" xfId="0" applyNumberFormat="1" applyFill="1"/>
    <xf numFmtId="0" fontId="0" fillId="0" borderId="0" xfId="0" applyFill="1"/>
    <xf numFmtId="0" fontId="0" fillId="0" borderId="0" xfId="0"/>
    <xf numFmtId="14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1" fillId="38" borderId="0" xfId="0" applyFont="1" applyFill="1"/>
    <xf numFmtId="0" fontId="0" fillId="0" borderId="0" xfId="0" applyFill="1"/>
    <xf numFmtId="166" fontId="0" fillId="0" borderId="0" xfId="0" applyNumberFormat="1" applyFill="1"/>
    <xf numFmtId="14" fontId="0" fillId="0" borderId="0" xfId="0" applyNumberFormat="1"/>
    <xf numFmtId="9" fontId="0" fillId="0" borderId="0" xfId="0" applyNumberFormat="1" applyFill="1" applyAlignment="1">
      <alignment horizontal="center"/>
    </xf>
    <xf numFmtId="0" fontId="0" fillId="0" borderId="0" xfId="0"/>
    <xf numFmtId="14" fontId="0" fillId="0" borderId="0" xfId="0" applyNumberFormat="1"/>
    <xf numFmtId="0" fontId="0" fillId="39" borderId="0" xfId="0" applyFill="1"/>
    <xf numFmtId="0" fontId="0" fillId="0" borderId="0" xfId="0"/>
    <xf numFmtId="14" fontId="0" fillId="0" borderId="0" xfId="0" applyNumberFormat="1"/>
    <xf numFmtId="0" fontId="6" fillId="0" borderId="0" xfId="0" applyFont="1"/>
    <xf numFmtId="165" fontId="19" fillId="0" borderId="0" xfId="0" applyNumberFormat="1" applyFont="1" applyFill="1" applyBorder="1"/>
    <xf numFmtId="2" fontId="0" fillId="0" borderId="0" xfId="0" applyNumberFormat="1" applyFill="1" applyAlignment="1">
      <alignment horizontal="center"/>
    </xf>
    <xf numFmtId="9" fontId="0" fillId="0" borderId="0" xfId="0" applyNumberFormat="1" applyFill="1"/>
    <xf numFmtId="9" fontId="21" fillId="0" borderId="0" xfId="0" applyNumberFormat="1" applyFont="1" applyFill="1"/>
    <xf numFmtId="0" fontId="0" fillId="40" borderId="0" xfId="0" applyFill="1" applyAlignment="1">
      <alignment horizontal="center"/>
    </xf>
    <xf numFmtId="0" fontId="0" fillId="0" borderId="0" xfId="0"/>
    <xf numFmtId="14" fontId="0" fillId="0" borderId="0" xfId="0" applyNumberFormat="1"/>
    <xf numFmtId="49" fontId="15" fillId="19" borderId="0" xfId="0" applyNumberFormat="1" applyFont="1" applyFill="1" applyAlignment="1">
      <alignment horizontal="center"/>
    </xf>
    <xf numFmtId="2" fontId="0" fillId="39" borderId="0" xfId="0" applyNumberFormat="1" applyFill="1"/>
    <xf numFmtId="0" fontId="0" fillId="19" borderId="0" xfId="0" applyFill="1"/>
    <xf numFmtId="0" fontId="20" fillId="36" borderId="0" xfId="0" applyFont="1" applyFill="1"/>
    <xf numFmtId="2" fontId="18" fillId="39" borderId="0" xfId="0" applyNumberFormat="1" applyFont="1" applyFill="1"/>
    <xf numFmtId="0" fontId="22" fillId="40" borderId="0" xfId="0" applyFont="1" applyFill="1" applyAlignment="1">
      <alignment horizontal="center" wrapText="1"/>
    </xf>
    <xf numFmtId="166" fontId="0" fillId="39" borderId="0" xfId="0" applyNumberFormat="1" applyFill="1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Alignment="1">
      <alignment horizontal="center"/>
    </xf>
    <xf numFmtId="14" fontId="38" fillId="0" borderId="0" xfId="0" applyNumberFormat="1" applyFont="1" applyAlignment="1">
      <alignment vertical="center" wrapText="1"/>
    </xf>
    <xf numFmtId="166" fontId="0" fillId="26" borderId="0" xfId="0" applyNumberFormat="1" applyFill="1"/>
    <xf numFmtId="165" fontId="18" fillId="0" borderId="0" xfId="0" applyNumberFormat="1" applyFont="1" applyFill="1" applyBorder="1"/>
    <xf numFmtId="166" fontId="20" fillId="41" borderId="0" xfId="0" applyNumberFormat="1" applyFont="1" applyFill="1"/>
    <xf numFmtId="166" fontId="0" fillId="41" borderId="0" xfId="0" applyNumberFormat="1" applyFill="1"/>
    <xf numFmtId="166" fontId="18" fillId="26" borderId="0" xfId="0" applyNumberFormat="1" applyFont="1" applyFill="1"/>
    <xf numFmtId="49" fontId="2" fillId="19" borderId="0" xfId="0" applyNumberFormat="1" applyFont="1" applyFill="1" applyAlignment="1">
      <alignment horizontal="center"/>
    </xf>
    <xf numFmtId="0" fontId="2" fillId="42" borderId="0" xfId="0" applyFont="1" applyFill="1"/>
    <xf numFmtId="0" fontId="0" fillId="36" borderId="0" xfId="0" applyFill="1"/>
    <xf numFmtId="2" fontId="0" fillId="36" borderId="0" xfId="0" applyNumberFormat="1" applyFill="1"/>
    <xf numFmtId="0" fontId="22" fillId="37" borderId="0" xfId="0" applyFont="1" applyFill="1" applyAlignment="1">
      <alignment horizontal="center" wrapText="1"/>
    </xf>
    <xf numFmtId="14" fontId="40" fillId="0" borderId="0" xfId="0" applyNumberFormat="1" applyFont="1" applyAlignment="1">
      <alignment vertical="center" wrapText="1"/>
    </xf>
    <xf numFmtId="0" fontId="6" fillId="40" borderId="0" xfId="0" applyFont="1" applyFill="1"/>
    <xf numFmtId="0" fontId="41" fillId="0" borderId="0" xfId="0" applyFont="1"/>
    <xf numFmtId="14" fontId="42" fillId="0" borderId="0" xfId="0" applyNumberFormat="1" applyFont="1" applyAlignment="1">
      <alignment vertical="center" wrapText="1"/>
    </xf>
    <xf numFmtId="164" fontId="0" fillId="40" borderId="0" xfId="0" applyNumberFormat="1" applyFill="1"/>
    <xf numFmtId="0" fontId="22" fillId="43" borderId="0" xfId="0" applyFont="1" applyFill="1" applyAlignment="1">
      <alignment horizontal="center" wrapText="1"/>
    </xf>
    <xf numFmtId="3" fontId="21" fillId="0" borderId="0" xfId="0" applyNumberFormat="1" applyFont="1"/>
    <xf numFmtId="0" fontId="22" fillId="44" borderId="0" xfId="0" applyFont="1" applyFill="1" applyAlignment="1">
      <alignment horizontal="center" wrapText="1"/>
    </xf>
    <xf numFmtId="0" fontId="0" fillId="44" borderId="0" xfId="0" applyFill="1" applyAlignment="1">
      <alignment horizontal="center"/>
    </xf>
    <xf numFmtId="2" fontId="0" fillId="43" borderId="0" xfId="0" applyNumberFormat="1" applyFill="1" applyAlignment="1">
      <alignment horizontal="center"/>
    </xf>
    <xf numFmtId="0" fontId="6" fillId="43" borderId="0" xfId="0" applyFont="1" applyFill="1"/>
    <xf numFmtId="2" fontId="0" fillId="41" borderId="0" xfId="0" applyNumberFormat="1" applyFill="1"/>
    <xf numFmtId="2" fontId="0" fillId="40" borderId="0" xfId="0" applyNumberFormat="1" applyFill="1" applyAlignment="1">
      <alignment horizontal="center"/>
    </xf>
    <xf numFmtId="3" fontId="18" fillId="0" borderId="0" xfId="0" applyNumberFormat="1" applyFont="1"/>
    <xf numFmtId="3" fontId="21" fillId="0" borderId="0" xfId="0" applyNumberFormat="1" applyFont="1" applyFill="1"/>
    <xf numFmtId="3" fontId="18" fillId="0" borderId="0" xfId="0" applyNumberFormat="1" applyFont="1" applyFill="1"/>
    <xf numFmtId="168" fontId="2" fillId="0" borderId="0" xfId="0" applyNumberFormat="1" applyFont="1"/>
    <xf numFmtId="166" fontId="0" fillId="45" borderId="0" xfId="0" applyNumberFormat="1" applyFill="1"/>
    <xf numFmtId="0" fontId="1" fillId="46" borderId="0" xfId="0" applyFont="1" applyFill="1"/>
    <xf numFmtId="2" fontId="0" fillId="46" borderId="0" xfId="0" applyNumberFormat="1" applyFill="1" applyBorder="1" applyAlignment="1">
      <alignment horizontal="center"/>
    </xf>
    <xf numFmtId="3" fontId="0" fillId="46" borderId="0" xfId="0" applyNumberFormat="1" applyFill="1" applyBorder="1" applyAlignment="1">
      <alignment horizontal="center"/>
    </xf>
    <xf numFmtId="164" fontId="0" fillId="46" borderId="0" xfId="0" applyNumberFormat="1" applyFill="1"/>
    <xf numFmtId="2" fontId="5" fillId="47" borderId="0" xfId="0" applyNumberFormat="1" applyFont="1" applyFill="1" applyAlignment="1">
      <alignment horizontal="right"/>
    </xf>
    <xf numFmtId="2" fontId="0" fillId="46" borderId="0" xfId="0" applyNumberFormat="1" applyFill="1" applyAlignment="1">
      <alignment horizontal="center"/>
    </xf>
    <xf numFmtId="9" fontId="0" fillId="0" borderId="0" xfId="15" applyFont="1"/>
    <xf numFmtId="9" fontId="0" fillId="0" borderId="0" xfId="0" applyNumberFormat="1" applyFont="1" applyFill="1"/>
    <xf numFmtId="22" fontId="0" fillId="0" borderId="0" xfId="0" applyNumberFormat="1"/>
    <xf numFmtId="9" fontId="44" fillId="0" borderId="0" xfId="0" applyNumberFormat="1" applyFont="1" applyFill="1" applyBorder="1"/>
    <xf numFmtId="0" fontId="0" fillId="45" borderId="0" xfId="0" applyFill="1"/>
    <xf numFmtId="0" fontId="2" fillId="0" borderId="0" xfId="0" applyFont="1" applyAlignment="1">
      <alignment wrapText="1"/>
    </xf>
    <xf numFmtId="166" fontId="48" fillId="48" borderId="0" xfId="20" applyNumberFormat="1" applyFont="1" applyFill="1">
      <alignment/>
      <protection/>
    </xf>
    <xf numFmtId="0" fontId="48" fillId="48" borderId="0" xfId="20" applyFont="1" applyFill="1">
      <alignment/>
      <protection/>
    </xf>
    <xf numFmtId="0" fontId="49" fillId="48" borderId="0" xfId="20" applyFont="1" applyFill="1">
      <alignment/>
      <protection/>
    </xf>
    <xf numFmtId="2" fontId="49" fillId="48" borderId="0" xfId="20" applyNumberFormat="1" applyFont="1" applyFill="1">
      <alignment/>
      <protection/>
    </xf>
    <xf numFmtId="49" fontId="50" fillId="48" borderId="0" xfId="20" applyNumberFormat="1" applyFont="1" applyFill="1">
      <alignment/>
      <protection/>
    </xf>
    <xf numFmtId="0" fontId="50" fillId="48" borderId="0" xfId="20" applyFont="1" applyFill="1">
      <alignment/>
      <protection/>
    </xf>
    <xf numFmtId="0" fontId="1" fillId="0" borderId="0" xfId="20">
      <alignment/>
      <protection/>
    </xf>
    <xf numFmtId="0" fontId="0" fillId="49" borderId="0" xfId="0" applyFill="1" applyAlignment="1">
      <alignment horizontal="center"/>
    </xf>
    <xf numFmtId="20" fontId="0" fillId="0" borderId="0" xfId="0" applyNumberFormat="1"/>
    <xf numFmtId="0" fontId="0" fillId="37" borderId="0" xfId="0" applyFill="1" applyBorder="1"/>
    <xf numFmtId="0" fontId="0" fillId="44" borderId="0" xfId="0" applyFill="1"/>
    <xf numFmtId="0" fontId="0" fillId="49" borderId="10" xfId="0" applyFill="1" applyBorder="1" applyAlignment="1">
      <alignment horizontal="center"/>
    </xf>
    <xf numFmtId="0" fontId="0" fillId="0" borderId="10" xfId="0" applyBorder="1"/>
    <xf numFmtId="14" fontId="0" fillId="0" borderId="10" xfId="0" applyNumberFormat="1" applyBorder="1"/>
    <xf numFmtId="20" fontId="0" fillId="0" borderId="10" xfId="0" applyNumberFormat="1" applyBorder="1"/>
    <xf numFmtId="2" fontId="0" fillId="0" borderId="10" xfId="0" applyNumberFormat="1" applyBorder="1"/>
    <xf numFmtId="3" fontId="0" fillId="0" borderId="10" xfId="0" applyNumberFormat="1" applyBorder="1"/>
    <xf numFmtId="49" fontId="0" fillId="0" borderId="10" xfId="0" applyNumberFormat="1" applyBorder="1"/>
    <xf numFmtId="0" fontId="0" fillId="40" borderId="10" xfId="0" applyFill="1" applyBorder="1"/>
    <xf numFmtId="0" fontId="0" fillId="40" borderId="0" xfId="0" applyFill="1"/>
    <xf numFmtId="0" fontId="0" fillId="50" borderId="0" xfId="0" applyFill="1" applyAlignment="1">
      <alignment horizontal="center"/>
    </xf>
    <xf numFmtId="0" fontId="0" fillId="49" borderId="0" xfId="0" applyFill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20" fontId="0" fillId="0" borderId="0" xfId="0" applyNumberFormat="1" applyBorder="1"/>
    <xf numFmtId="2" fontId="0" fillId="0" borderId="0" xfId="0" applyNumberFormat="1" applyBorder="1"/>
    <xf numFmtId="3" fontId="0" fillId="0" borderId="0" xfId="0" applyNumberFormat="1" applyFill="1" applyBorder="1"/>
    <xf numFmtId="49" fontId="0" fillId="0" borderId="0" xfId="0" applyNumberFormat="1" applyBorder="1"/>
    <xf numFmtId="0" fontId="0" fillId="37" borderId="10" xfId="0" applyFill="1" applyBorder="1"/>
    <xf numFmtId="0" fontId="18" fillId="50" borderId="0" xfId="0" applyFont="1" applyFill="1" applyAlignment="1">
      <alignment horizontal="center"/>
    </xf>
    <xf numFmtId="0" fontId="0" fillId="0" borderId="0" xfId="0" applyFill="1" applyBorder="1"/>
    <xf numFmtId="0" fontId="18" fillId="49" borderId="0" xfId="0" applyFont="1" applyFill="1" applyAlignment="1">
      <alignment horizontal="center"/>
    </xf>
    <xf numFmtId="0" fontId="0" fillId="0" borderId="10" xfId="0" applyFill="1" applyBorder="1"/>
    <xf numFmtId="3" fontId="0" fillId="0" borderId="10" xfId="0" applyNumberFormat="1" applyFill="1" applyBorder="1"/>
    <xf numFmtId="0" fontId="0" fillId="40" borderId="0" xfId="0" applyFill="1" applyBorder="1"/>
    <xf numFmtId="0" fontId="0" fillId="49" borderId="11" xfId="0" applyFill="1" applyBorder="1" applyAlignment="1">
      <alignment horizontal="center"/>
    </xf>
    <xf numFmtId="0" fontId="0" fillId="0" borderId="11" xfId="0" applyFill="1" applyBorder="1"/>
    <xf numFmtId="14" fontId="0" fillId="0" borderId="11" xfId="0" applyNumberFormat="1" applyBorder="1"/>
    <xf numFmtId="20" fontId="0" fillId="0" borderId="11" xfId="0" applyNumberFormat="1" applyBorder="1"/>
    <xf numFmtId="2" fontId="0" fillId="0" borderId="11" xfId="0" applyNumberFormat="1" applyBorder="1"/>
    <xf numFmtId="3" fontId="0" fillId="0" borderId="11" xfId="0" applyNumberFormat="1" applyFill="1" applyBorder="1"/>
    <xf numFmtId="49" fontId="0" fillId="0" borderId="11" xfId="0" applyNumberFormat="1" applyBorder="1"/>
    <xf numFmtId="0" fontId="0" fillId="40" borderId="11" xfId="0" applyFill="1" applyBorder="1"/>
    <xf numFmtId="0" fontId="0" fillId="50" borderId="0" xfId="0" applyFill="1" applyBorder="1" applyAlignment="1">
      <alignment horizontal="center"/>
    </xf>
    <xf numFmtId="0" fontId="45" fillId="0" borderId="0" xfId="0" applyFont="1" applyFill="1" applyBorder="1"/>
    <xf numFmtId="0" fontId="0" fillId="49" borderId="12" xfId="0" applyFill="1" applyBorder="1" applyAlignment="1">
      <alignment horizontal="center"/>
    </xf>
    <xf numFmtId="0" fontId="0" fillId="0" borderId="12" xfId="0" applyFill="1" applyBorder="1"/>
    <xf numFmtId="14" fontId="0" fillId="0" borderId="12" xfId="0" applyNumberFormat="1" applyBorder="1"/>
    <xf numFmtId="20" fontId="0" fillId="0" borderId="12" xfId="0" applyNumberFormat="1" applyBorder="1"/>
    <xf numFmtId="0" fontId="45" fillId="0" borderId="12" xfId="0" applyFont="1" applyFill="1" applyBorder="1"/>
    <xf numFmtId="2" fontId="0" fillId="0" borderId="12" xfId="0" applyNumberFormat="1" applyBorder="1"/>
    <xf numFmtId="3" fontId="0" fillId="0" borderId="12" xfId="0" applyNumberFormat="1" applyFill="1" applyBorder="1"/>
    <xf numFmtId="49" fontId="0" fillId="0" borderId="12" xfId="0" applyNumberFormat="1" applyBorder="1"/>
    <xf numFmtId="0" fontId="0" fillId="37" borderId="12" xfId="0" applyFill="1" applyBorder="1"/>
    <xf numFmtId="0" fontId="0" fillId="0" borderId="0" xfId="0" applyFont="1" applyFill="1" applyBorder="1"/>
    <xf numFmtId="0" fontId="15" fillId="35" borderId="12" xfId="0" applyFont="1" applyFill="1" applyBorder="1"/>
    <xf numFmtId="0" fontId="0" fillId="0" borderId="12" xfId="0" applyBorder="1"/>
    <xf numFmtId="0" fontId="0" fillId="0" borderId="12" xfId="0" applyFont="1" applyBorder="1"/>
    <xf numFmtId="0" fontId="0" fillId="0" borderId="12" xfId="0" applyFont="1" applyFill="1" applyBorder="1"/>
    <xf numFmtId="0" fontId="0" fillId="50" borderId="12" xfId="0" applyFill="1" applyBorder="1" applyAlignment="1">
      <alignment horizontal="center"/>
    </xf>
    <xf numFmtId="0" fontId="0" fillId="40" borderId="12" xfId="0" applyFill="1" applyBorder="1"/>
    <xf numFmtId="0" fontId="0" fillId="49" borderId="13" xfId="0" applyFill="1" applyBorder="1" applyAlignment="1">
      <alignment horizontal="center"/>
    </xf>
    <xf numFmtId="0" fontId="0" fillId="0" borderId="13" xfId="0" applyFill="1" applyBorder="1"/>
    <xf numFmtId="14" fontId="0" fillId="0" borderId="13" xfId="0" applyNumberFormat="1" applyBorder="1"/>
    <xf numFmtId="20" fontId="0" fillId="0" borderId="13" xfId="0" applyNumberFormat="1" applyBorder="1"/>
    <xf numFmtId="0" fontId="0" fillId="0" borderId="13" xfId="0" applyFont="1" applyFill="1" applyBorder="1"/>
    <xf numFmtId="2" fontId="0" fillId="0" borderId="13" xfId="0" applyNumberFormat="1" applyBorder="1"/>
    <xf numFmtId="3" fontId="0" fillId="0" borderId="13" xfId="0" applyNumberFormat="1" applyFill="1" applyBorder="1"/>
    <xf numFmtId="49" fontId="0" fillId="0" borderId="13" xfId="0" applyNumberFormat="1" applyBorder="1"/>
    <xf numFmtId="0" fontId="0" fillId="37" borderId="13" xfId="0" applyFill="1" applyBorder="1"/>
    <xf numFmtId="0" fontId="0" fillId="44" borderId="0" xfId="0" applyFill="1" applyBorder="1"/>
    <xf numFmtId="0" fontId="15" fillId="35" borderId="0" xfId="0" applyFont="1" applyFill="1" applyBorder="1"/>
    <xf numFmtId="0" fontId="0" fillId="40" borderId="13" xfId="0" applyFill="1" applyBorder="1"/>
    <xf numFmtId="0" fontId="0" fillId="46" borderId="0" xfId="0" applyFill="1" applyAlignment="1">
      <alignment horizontal="center"/>
    </xf>
    <xf numFmtId="0" fontId="0" fillId="46" borderId="0" xfId="0" applyFont="1" applyFill="1" applyBorder="1"/>
    <xf numFmtId="0" fontId="0" fillId="46" borderId="13" xfId="0" applyFill="1" applyBorder="1" applyAlignment="1">
      <alignment horizontal="center"/>
    </xf>
    <xf numFmtId="0" fontId="0" fillId="46" borderId="13" xfId="0" applyFont="1" applyFill="1" applyBorder="1"/>
    <xf numFmtId="14" fontId="0" fillId="0" borderId="0" xfId="0" applyNumberFormat="1" applyFill="1" applyBorder="1"/>
    <xf numFmtId="20" fontId="0" fillId="0" borderId="0" xfId="0" applyNumberFormat="1" applyFill="1" applyBorder="1"/>
    <xf numFmtId="2" fontId="0" fillId="0" borderId="0" xfId="0" applyNumberFormat="1" applyFill="1" applyBorder="1"/>
    <xf numFmtId="49" fontId="0" fillId="0" borderId="0" xfId="0" applyNumberFormat="1" applyFill="1" applyBorder="1"/>
    <xf numFmtId="0" fontId="0" fillId="51" borderId="0" xfId="0" applyFill="1" applyAlignment="1">
      <alignment horizontal="center"/>
    </xf>
    <xf numFmtId="20" fontId="0" fillId="0" borderId="0" xfId="0" applyNumberFormat="1" applyFill="1"/>
    <xf numFmtId="0" fontId="0" fillId="44" borderId="12" xfId="0" applyFill="1" applyBorder="1"/>
    <xf numFmtId="0" fontId="0" fillId="44" borderId="13" xfId="0" applyFill="1" applyBorder="1"/>
    <xf numFmtId="0" fontId="0" fillId="50" borderId="12" xfId="0" applyFill="1" applyBorder="1"/>
    <xf numFmtId="0" fontId="0" fillId="49" borderId="0" xfId="0" applyFill="1"/>
    <xf numFmtId="0" fontId="0" fillId="50" borderId="0" xfId="0" applyFill="1"/>
    <xf numFmtId="0" fontId="0" fillId="49" borderId="0" xfId="0" applyFill="1" applyBorder="1"/>
    <xf numFmtId="0" fontId="0" fillId="52" borderId="0" xfId="0" applyFill="1" applyBorder="1"/>
    <xf numFmtId="0" fontId="0" fillId="49" borderId="12" xfId="0" applyFill="1" applyBorder="1"/>
    <xf numFmtId="0" fontId="0" fillId="52" borderId="12" xfId="0" applyFill="1" applyBorder="1"/>
    <xf numFmtId="0" fontId="18" fillId="50" borderId="0" xfId="0" applyFont="1" applyFill="1"/>
    <xf numFmtId="0" fontId="2" fillId="0" borderId="0" xfId="0" applyFont="1" applyAlignment="1">
      <alignment/>
    </xf>
    <xf numFmtId="9" fontId="51" fillId="0" borderId="0" xfId="0" applyNumberFormat="1" applyFont="1" applyFill="1" applyAlignment="1">
      <alignment/>
    </xf>
    <xf numFmtId="1" fontId="52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53" borderId="0" xfId="0" applyFill="1" applyAlignment="1">
      <alignment wrapText="1"/>
    </xf>
    <xf numFmtId="1" fontId="2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37" borderId="0" xfId="0" applyNumberFormat="1" applyFill="1" applyAlignment="1">
      <alignment/>
    </xf>
    <xf numFmtId="1" fontId="0" fillId="40" borderId="0" xfId="0" applyNumberFormat="1" applyFill="1" applyAlignment="1">
      <alignment/>
    </xf>
    <xf numFmtId="1" fontId="0" fillId="44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9" fillId="0" borderId="0" xfId="0" applyFont="1"/>
    <xf numFmtId="9" fontId="15" fillId="0" borderId="0" xfId="0" applyNumberFormat="1" applyFont="1" applyFill="1"/>
    <xf numFmtId="14" fontId="9" fillId="0" borderId="0" xfId="0" applyNumberFormat="1" applyFont="1" applyAlignment="1">
      <alignment horizontal="center" textRotation="90"/>
    </xf>
    <xf numFmtId="166" fontId="2" fillId="0" borderId="0" xfId="0" applyNumberFormat="1" applyFont="1"/>
    <xf numFmtId="1" fontId="52" fillId="0" borderId="0" xfId="0" applyNumberFormat="1" applyFont="1"/>
    <xf numFmtId="166" fontId="9" fillId="0" borderId="0" xfId="0" applyNumberFormat="1" applyFont="1"/>
    <xf numFmtId="0" fontId="0" fillId="0" borderId="0" xfId="0" applyFill="1" applyAlignment="1">
      <alignment wrapText="1"/>
    </xf>
    <xf numFmtId="14" fontId="2" fillId="0" borderId="0" xfId="0" applyNumberFormat="1" applyFont="1" applyAlignment="1">
      <alignment textRotation="90"/>
    </xf>
    <xf numFmtId="14" fontId="9" fillId="0" borderId="0" xfId="0" applyNumberFormat="1" applyFont="1" applyAlignment="1">
      <alignment textRotation="90"/>
    </xf>
    <xf numFmtId="9" fontId="51" fillId="0" borderId="0" xfId="0" applyNumberFormat="1" applyFont="1" applyFill="1" applyAlignment="1">
      <alignment textRotation="90"/>
    </xf>
    <xf numFmtId="166" fontId="2" fillId="0" borderId="0" xfId="0" applyNumberFormat="1" applyFont="1" applyAlignment="1">
      <alignment wrapText="1"/>
    </xf>
    <xf numFmtId="1" fontId="52" fillId="0" borderId="0" xfId="0" applyNumberFormat="1" applyFont="1" applyAlignment="1">
      <alignment textRotation="90" wrapText="1"/>
    </xf>
    <xf numFmtId="14" fontId="9" fillId="0" borderId="0" xfId="0" applyNumberFormat="1" applyFont="1" applyAlignment="1">
      <alignment textRotation="90" wrapText="1"/>
    </xf>
    <xf numFmtId="14" fontId="0" fillId="0" borderId="0" xfId="0" applyNumberFormat="1" applyAlignment="1">
      <alignment textRotation="90"/>
    </xf>
    <xf numFmtId="9" fontId="51" fillId="0" borderId="0" xfId="0" applyNumberFormat="1" applyFont="1" applyFill="1"/>
    <xf numFmtId="0" fontId="2" fillId="0" borderId="0" xfId="0" applyFont="1" applyFill="1"/>
    <xf numFmtId="9" fontId="9" fillId="0" borderId="0" xfId="0" applyNumberFormat="1" applyFont="1"/>
    <xf numFmtId="0" fontId="0" fillId="0" borderId="0" xfId="0" applyAlignment="1">
      <alignment horizontal="center"/>
    </xf>
    <xf numFmtId="9" fontId="5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9" fontId="0" fillId="0" borderId="0" xfId="0" applyNumberFormat="1" applyAlignment="1">
      <alignment horizontal="center"/>
    </xf>
    <xf numFmtId="0" fontId="45" fillId="52" borderId="0" xfId="0" applyFont="1" applyFill="1"/>
    <xf numFmtId="0" fontId="45" fillId="0" borderId="0" xfId="0" applyFont="1" applyFill="1"/>
    <xf numFmtId="0" fontId="15" fillId="0" borderId="0" xfId="0" applyFont="1" applyFill="1"/>
    <xf numFmtId="167" fontId="15" fillId="0" borderId="0" xfId="0" applyNumberFormat="1" applyFont="1" applyFill="1"/>
    <xf numFmtId="0" fontId="45" fillId="37" borderId="0" xfId="0" applyFont="1" applyFill="1"/>
    <xf numFmtId="166" fontId="53" fillId="0" borderId="0" xfId="0" applyNumberFormat="1" applyFont="1"/>
    <xf numFmtId="1" fontId="54" fillId="0" borderId="0" xfId="0" applyNumberFormat="1" applyFont="1"/>
    <xf numFmtId="165" fontId="55" fillId="0" borderId="0" xfId="0" applyNumberFormat="1" applyFont="1"/>
    <xf numFmtId="9" fontId="55" fillId="0" borderId="0" xfId="0" applyNumberFormat="1" applyFont="1"/>
    <xf numFmtId="3" fontId="55" fillId="0" borderId="0" xfId="0" applyNumberFormat="1" applyFont="1"/>
    <xf numFmtId="0" fontId="17" fillId="45" borderId="0" xfId="0" applyFont="1" applyFill="1"/>
    <xf numFmtId="0" fontId="6" fillId="45" borderId="0" xfId="0" applyFont="1" applyFill="1"/>
    <xf numFmtId="0" fontId="17" fillId="0" borderId="0" xfId="0" applyFont="1" applyFill="1"/>
    <xf numFmtId="0" fontId="7" fillId="0" borderId="0" xfId="0" applyFont="1" applyFill="1"/>
    <xf numFmtId="9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 horizontal="right"/>
    </xf>
    <xf numFmtId="9" fontId="56" fillId="0" borderId="0" xfId="0" applyNumberFormat="1" applyFont="1" applyFill="1" applyAlignment="1">
      <alignment horizontal="left"/>
    </xf>
    <xf numFmtId="9" fontId="15" fillId="52" borderId="0" xfId="0" applyNumberFormat="1" applyFont="1" applyFill="1"/>
    <xf numFmtId="166" fontId="53" fillId="0" borderId="0" xfId="0" applyNumberFormat="1" applyFont="1" applyFill="1"/>
    <xf numFmtId="1" fontId="54" fillId="0" borderId="0" xfId="0" applyNumberFormat="1" applyFont="1" applyFill="1"/>
    <xf numFmtId="165" fontId="45" fillId="0" borderId="0" xfId="0" applyNumberFormat="1" applyFont="1" applyFill="1"/>
    <xf numFmtId="9" fontId="45" fillId="0" borderId="0" xfId="0" applyNumberFormat="1" applyFont="1" applyFill="1"/>
    <xf numFmtId="3" fontId="45" fillId="0" borderId="0" xfId="0" applyNumberFormat="1" applyFont="1" applyFill="1"/>
    <xf numFmtId="0" fontId="17" fillId="51" borderId="0" xfId="0" applyFont="1" applyFill="1"/>
    <xf numFmtId="0" fontId="6" fillId="51" borderId="0" xfId="0" applyFont="1" applyFill="1"/>
    <xf numFmtId="0" fontId="7" fillId="51" borderId="0" xfId="0" applyFont="1" applyFill="1"/>
    <xf numFmtId="9" fontId="7" fillId="51" borderId="0" xfId="0" applyNumberFormat="1" applyFont="1" applyFill="1" applyAlignment="1">
      <alignment/>
    </xf>
    <xf numFmtId="9" fontId="7" fillId="51" borderId="0" xfId="0" applyNumberFormat="1" applyFont="1" applyFill="1" applyAlignment="1">
      <alignment horizontal="right"/>
    </xf>
    <xf numFmtId="9" fontId="56" fillId="51" borderId="0" xfId="0" applyNumberFormat="1" applyFont="1" applyFill="1" applyAlignment="1">
      <alignment horizontal="left"/>
    </xf>
    <xf numFmtId="0" fontId="0" fillId="51" borderId="0" xfId="0" applyFill="1"/>
    <xf numFmtId="0" fontId="45" fillId="0" borderId="0" xfId="0" applyFont="1"/>
    <xf numFmtId="165" fontId="45" fillId="0" borderId="0" xfId="0" applyNumberFormat="1" applyFont="1"/>
    <xf numFmtId="9" fontId="45" fillId="0" borderId="0" xfId="0" applyNumberFormat="1" applyFont="1"/>
    <xf numFmtId="3" fontId="45" fillId="0" borderId="0" xfId="0" applyNumberFormat="1" applyFont="1"/>
    <xf numFmtId="0" fontId="17" fillId="31" borderId="0" xfId="0" applyFont="1" applyFill="1"/>
    <xf numFmtId="0" fontId="6" fillId="31" borderId="0" xfId="0" applyFont="1" applyFill="1"/>
    <xf numFmtId="0" fontId="7" fillId="31" borderId="0" xfId="0" applyFont="1" applyFill="1"/>
    <xf numFmtId="9" fontId="7" fillId="31" borderId="0" xfId="0" applyNumberFormat="1" applyFont="1" applyFill="1" applyAlignment="1">
      <alignment/>
    </xf>
    <xf numFmtId="9" fontId="7" fillId="31" borderId="0" xfId="0" applyNumberFormat="1" applyFont="1" applyFill="1" applyAlignment="1">
      <alignment horizontal="right"/>
    </xf>
    <xf numFmtId="9" fontId="56" fillId="31" borderId="0" xfId="0" applyNumberFormat="1" applyFont="1" applyFill="1" applyAlignment="1">
      <alignment horizontal="left"/>
    </xf>
    <xf numFmtId="0" fontId="17" fillId="28" borderId="0" xfId="0" applyFont="1" applyFill="1"/>
    <xf numFmtId="0" fontId="15" fillId="28" borderId="0" xfId="0" applyFont="1" applyFill="1"/>
    <xf numFmtId="0" fontId="0" fillId="0" borderId="0" xfId="0" applyFont="1" applyFill="1"/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52" borderId="0" xfId="0" applyFont="1" applyFill="1"/>
    <xf numFmtId="167" fontId="15" fillId="54" borderId="0" xfId="0" applyNumberFormat="1" applyFont="1" applyFill="1"/>
    <xf numFmtId="165" fontId="54" fillId="0" borderId="0" xfId="0" applyNumberFormat="1" applyFont="1" applyFill="1"/>
    <xf numFmtId="9" fontId="54" fillId="0" borderId="0" xfId="0" applyNumberFormat="1" applyFont="1" applyFill="1"/>
    <xf numFmtId="3" fontId="54" fillId="0" borderId="0" xfId="0" applyNumberFormat="1" applyFont="1" applyFill="1"/>
    <xf numFmtId="0" fontId="17" fillId="20" borderId="0" xfId="0" applyFont="1" applyFill="1"/>
    <xf numFmtId="0" fontId="6" fillId="20" borderId="0" xfId="0" applyFont="1" applyFill="1"/>
    <xf numFmtId="165" fontId="55" fillId="0" borderId="0" xfId="0" applyNumberFormat="1" applyFont="1" applyFill="1"/>
    <xf numFmtId="9" fontId="55" fillId="0" borderId="0" xfId="0" applyNumberFormat="1" applyFont="1" applyFill="1"/>
    <xf numFmtId="3" fontId="55" fillId="0" borderId="0" xfId="0" applyNumberFormat="1" applyFont="1" applyFill="1"/>
    <xf numFmtId="0" fontId="17" fillId="16" borderId="0" xfId="0" applyFont="1" applyFill="1"/>
    <xf numFmtId="0" fontId="6" fillId="16" borderId="0" xfId="0" applyFont="1" applyFill="1"/>
    <xf numFmtId="0" fontId="17" fillId="24" borderId="0" xfId="0" applyFont="1" applyFill="1"/>
    <xf numFmtId="0" fontId="6" fillId="24" borderId="0" xfId="0" applyFont="1" applyFill="1"/>
    <xf numFmtId="9" fontId="6" fillId="24" borderId="0" xfId="0" applyNumberFormat="1" applyFont="1" applyFill="1" applyAlignment="1">
      <alignment horizontal="right"/>
    </xf>
    <xf numFmtId="9" fontId="6" fillId="0" borderId="0" xfId="0" applyNumberFormat="1" applyFont="1" applyFill="1" applyAlignment="1">
      <alignment horizontal="right"/>
    </xf>
    <xf numFmtId="9" fontId="15" fillId="0" borderId="0" xfId="0" applyNumberFormat="1" applyFont="1" applyFill="1" applyAlignment="1">
      <alignment horizontal="right"/>
    </xf>
    <xf numFmtId="0" fontId="15" fillId="45" borderId="0" xfId="0" applyFont="1" applyFill="1"/>
    <xf numFmtId="0" fontId="2" fillId="45" borderId="0" xfId="0" applyFont="1" applyFill="1"/>
    <xf numFmtId="0" fontId="2" fillId="45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8" borderId="0" xfId="0" applyFill="1"/>
    <xf numFmtId="0" fontId="15" fillId="28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5" fillId="16" borderId="0" xfId="0" applyFont="1" applyFill="1"/>
    <xf numFmtId="0" fontId="0" fillId="16" borderId="0" xfId="0" applyFill="1"/>
    <xf numFmtId="0" fontId="2" fillId="16" borderId="0" xfId="0" applyFont="1" applyFill="1"/>
    <xf numFmtId="0" fontId="15" fillId="16" borderId="0" xfId="0" applyFont="1" applyFill="1" applyAlignment="1">
      <alignment horizontal="right"/>
    </xf>
    <xf numFmtId="0" fontId="57" fillId="55" borderId="0" xfId="0" applyFont="1" applyFill="1"/>
    <xf numFmtId="0" fontId="15" fillId="55" borderId="0" xfId="0" applyFont="1" applyFill="1"/>
    <xf numFmtId="0" fontId="0" fillId="55" borderId="0" xfId="0" applyFill="1"/>
    <xf numFmtId="0" fontId="2" fillId="55" borderId="0" xfId="0" applyFont="1" applyFill="1"/>
    <xf numFmtId="0" fontId="15" fillId="40" borderId="0" xfId="0" applyFont="1" applyFill="1"/>
    <xf numFmtId="0" fontId="45" fillId="43" borderId="0" xfId="0" applyFont="1" applyFill="1"/>
    <xf numFmtId="9" fontId="0" fillId="28" borderId="0" xfId="0" applyNumberFormat="1" applyFill="1"/>
    <xf numFmtId="0" fontId="17" fillId="56" borderId="0" xfId="0" applyFont="1" applyFill="1"/>
    <xf numFmtId="0" fontId="0" fillId="24" borderId="0" xfId="0" applyFill="1"/>
    <xf numFmtId="0" fontId="58" fillId="31" borderId="0" xfId="0" applyFont="1" applyFill="1"/>
    <xf numFmtId="0" fontId="0" fillId="52" borderId="0" xfId="0" applyFill="1"/>
    <xf numFmtId="0" fontId="0" fillId="31" borderId="0" xfId="0" applyFill="1"/>
    <xf numFmtId="166" fontId="59" fillId="0" borderId="0" xfId="0" applyNumberFormat="1" applyFont="1"/>
    <xf numFmtId="166" fontId="59" fillId="0" borderId="0" xfId="0" applyNumberFormat="1" applyFont="1" applyFill="1"/>
    <xf numFmtId="0" fontId="0" fillId="56" borderId="0" xfId="0" applyFill="1"/>
    <xf numFmtId="0" fontId="0" fillId="46" borderId="0" xfId="0" applyFill="1"/>
    <xf numFmtId="0" fontId="17" fillId="46" borderId="0" xfId="0" applyFont="1" applyFill="1"/>
    <xf numFmtId="0" fontId="17" fillId="57" borderId="0" xfId="0" applyFont="1" applyFill="1"/>
    <xf numFmtId="0" fontId="17" fillId="58" borderId="0" xfId="0" applyFont="1" applyFill="1"/>
    <xf numFmtId="166" fontId="15" fillId="0" borderId="0" xfId="0" applyNumberFormat="1" applyFont="1"/>
    <xf numFmtId="166" fontId="45" fillId="0" borderId="0" xfId="0" applyNumberFormat="1" applyFont="1"/>
    <xf numFmtId="1" fontId="54" fillId="40" borderId="0" xfId="0" applyNumberFormat="1" applyFont="1" applyFill="1"/>
    <xf numFmtId="1" fontId="54" fillId="52" borderId="0" xfId="0" applyNumberFormat="1" applyFont="1" applyFill="1"/>
    <xf numFmtId="0" fontId="3" fillId="39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35" borderId="0" xfId="0" applyFont="1" applyFill="1" applyAlignment="1">
      <alignment horizontal="center"/>
    </xf>
    <xf numFmtId="0" fontId="46" fillId="48" borderId="0" xfId="0" applyFont="1" applyFill="1" applyAlignment="1">
      <alignment horizontal="center"/>
    </xf>
    <xf numFmtId="49" fontId="0" fillId="59" borderId="0" xfId="0" applyNumberFormat="1" applyFill="1" applyAlignment="1">
      <alignment horizontal="center"/>
    </xf>
    <xf numFmtId="49" fontId="0" fillId="6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49" fontId="0" fillId="53" borderId="0" xfId="0" applyNumberFormat="1" applyFill="1" applyAlignment="1">
      <alignment horizontal="center" wrapText="1"/>
    </xf>
    <xf numFmtId="49" fontId="0" fillId="61" borderId="0" xfId="0" applyNumberFormat="1" applyFill="1" applyAlignment="1">
      <alignment horizontal="center" wrapText="1"/>
    </xf>
    <xf numFmtId="49" fontId="0" fillId="60" borderId="0" xfId="0" applyNumberFormat="1" applyFill="1" applyAlignment="1">
      <alignment horizontal="center" wrapText="1"/>
    </xf>
    <xf numFmtId="49" fontId="0" fillId="59" borderId="0" xfId="0" applyNumberFormat="1" applyFill="1" applyAlignment="1">
      <alignment horizontal="center" wrapText="1"/>
    </xf>
  </cellXfs>
  <cellStyles count="6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List Panel Header" xfId="21"/>
    <cellStyle name="Normal 3" xfId="22"/>
    <cellStyle name="Title" xfId="23"/>
    <cellStyle name="Heading 1" xfId="24"/>
    <cellStyle name="Heading 2" xfId="25"/>
    <cellStyle name="Heading 3" xfId="26"/>
    <cellStyle name="Heading 4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Note" xfId="37"/>
    <cellStyle name="Explanatory Text" xfId="38"/>
    <cellStyle name="Total" xfId="39"/>
    <cellStyle name="Accent1" xfId="40"/>
    <cellStyle name="20% - Accent1" xfId="41"/>
    <cellStyle name="40% - Accent1" xfId="42"/>
    <cellStyle name="60% - Accent1" xfId="43"/>
    <cellStyle name="Accent2" xfId="44"/>
    <cellStyle name="20% - Accent2" xfId="45"/>
    <cellStyle name="40% - Accent2" xfId="46"/>
    <cellStyle name="60% - Accent2" xfId="47"/>
    <cellStyle name="Accent3" xfId="48"/>
    <cellStyle name="20% - Accent3" xfId="49"/>
    <cellStyle name="40% - Accent3" xfId="50"/>
    <cellStyle name="60% - Accent3" xfId="51"/>
    <cellStyle name="Accent4" xfId="52"/>
    <cellStyle name="20% - Accent4" xfId="53"/>
    <cellStyle name="40% - Accent4" xfId="54"/>
    <cellStyle name="60% - Accent4" xfId="55"/>
    <cellStyle name="Accent5" xfId="56"/>
    <cellStyle name="20% - Accent5" xfId="57"/>
    <cellStyle name="40% - Accent5" xfId="58"/>
    <cellStyle name="60% - Accent5" xfId="59"/>
    <cellStyle name="Accent6" xfId="60"/>
    <cellStyle name="20% - Accent6" xfId="61"/>
    <cellStyle name="40% - Accent6" xfId="62"/>
    <cellStyle name="60% - Accent6" xfId="63"/>
    <cellStyle name="Percent 2" xfId="64"/>
    <cellStyle name="Comma 2" xfId="65"/>
    <cellStyle name="Normal 10" xfId="66"/>
    <cellStyle name="Normal 10 2" xfId="67"/>
    <cellStyle name="Normal 2 54" xfId="68"/>
    <cellStyle name="Normal 2 10" xfId="69"/>
    <cellStyle name="Normal 2 11" xfId="70"/>
    <cellStyle name="Normal 2 12" xfId="71"/>
    <cellStyle name="Normal 2 13" xfId="72"/>
    <cellStyle name="Normal 2 14" xfId="73"/>
    <cellStyle name="Normal 2 15" xfId="74"/>
    <cellStyle name="Normal 2 16" xfId="75"/>
    <cellStyle name="Normal 2 17" xfId="76"/>
    <cellStyle name="Normal 2 18" xfId="77"/>
    <cellStyle name="Normal 2 19" xfId="78"/>
    <cellStyle name="Normal 2 2" xfId="79"/>
    <cellStyle name="Normal 2 20" xfId="80"/>
    <cellStyle name="Normal 2 21" xfId="81"/>
    <cellStyle name="Normal 2 22" xfId="82"/>
    <cellStyle name="Normal 2 23" xfId="83"/>
    <cellStyle name="Normal 2 24" xfId="84"/>
    <cellStyle name="Normal 2 25" xfId="85"/>
    <cellStyle name="Normal 2 26" xfId="86"/>
    <cellStyle name="Normal 2 27" xfId="87"/>
    <cellStyle name="Normal 2 28" xfId="88"/>
    <cellStyle name="Normal 2 29" xfId="89"/>
    <cellStyle name="Normal 2 3" xfId="90"/>
    <cellStyle name="Normal 2 30" xfId="91"/>
    <cellStyle name="Normal 2 31" xfId="92"/>
    <cellStyle name="Normal 2 32" xfId="93"/>
    <cellStyle name="Normal 2 33" xfId="94"/>
    <cellStyle name="Normal 2 34" xfId="95"/>
    <cellStyle name="Normal 2 35" xfId="96"/>
    <cellStyle name="Normal 2 36" xfId="97"/>
    <cellStyle name="Normal 2 37" xfId="98"/>
    <cellStyle name="Normal 2 38" xfId="99"/>
    <cellStyle name="Normal 2 39" xfId="100"/>
    <cellStyle name="Normal 2 4" xfId="101"/>
    <cellStyle name="Normal 2 40" xfId="102"/>
    <cellStyle name="Normal 2 41" xfId="103"/>
    <cellStyle name="Normal 2 42" xfId="104"/>
    <cellStyle name="Normal 2 43" xfId="105"/>
    <cellStyle name="Normal 2 44" xfId="106"/>
    <cellStyle name="Normal 2 5" xfId="107"/>
    <cellStyle name="Normal 2 6" xfId="108"/>
    <cellStyle name="Normal 2 7" xfId="109"/>
    <cellStyle name="Normal 2 8" xfId="110"/>
    <cellStyle name="Normal 2 9" xfId="111"/>
    <cellStyle name="Normal 20" xfId="112"/>
    <cellStyle name="Normal 20 2" xfId="113"/>
    <cellStyle name="Normal 21" xfId="114"/>
    <cellStyle name="Normal 21 2" xfId="115"/>
    <cellStyle name="Normal 22" xfId="116"/>
    <cellStyle name="Normal 22 2" xfId="117"/>
    <cellStyle name="Normal 23" xfId="118"/>
    <cellStyle name="Normal 23 2" xfId="119"/>
    <cellStyle name="Normal 3 10" xfId="120"/>
    <cellStyle name="Normal 3 2" xfId="121"/>
    <cellStyle name="Normal 3 2 2" xfId="122"/>
    <cellStyle name="Normal 4" xfId="123"/>
    <cellStyle name="Normal 4 2" xfId="124"/>
    <cellStyle name="Normal 41" xfId="125"/>
    <cellStyle name="Normal 41 2" xfId="126"/>
    <cellStyle name="Normal 42" xfId="127"/>
    <cellStyle name="Normal 42 2" xfId="128"/>
    <cellStyle name="Normal 43" xfId="129"/>
    <cellStyle name="Normal 5" xfId="130"/>
    <cellStyle name="Normal 6" xfId="131"/>
    <cellStyle name="Normal 7" xfId="132"/>
    <cellStyle name="Normal 7 2" xfId="133"/>
    <cellStyle name="Normal 8" xfId="134"/>
    <cellStyle name="Normal 9" xfId="135"/>
    <cellStyle name="Normal 9 2" xfId="136"/>
    <cellStyle name="Note 2" xfId="137"/>
    <cellStyle name="Note 3" xfId="138"/>
    <cellStyle name="Note 4" xfId="139"/>
    <cellStyle name="Normal 11" xfId="140"/>
    <cellStyle name="Normal 12" xfId="141"/>
    <cellStyle name="Normal 12 2" xfId="142"/>
    <cellStyle name="Comma 2 2" xfId="143"/>
    <cellStyle name="Normal 10 2 2" xfId="144"/>
    <cellStyle name="Normal 10 3" xfId="145"/>
    <cellStyle name="Normal 11 3" xfId="146"/>
    <cellStyle name="Normal 11 2" xfId="147"/>
    <cellStyle name="Normal 11 2 2" xfId="148"/>
    <cellStyle name="Normal 11 2 2 2" xfId="149"/>
    <cellStyle name="Normal 12 3" xfId="150"/>
    <cellStyle name="Normal 13" xfId="151"/>
    <cellStyle name="Normal 13 2" xfId="152"/>
    <cellStyle name="Normal 13 3" xfId="153"/>
    <cellStyle name="Normal 14" xfId="154"/>
    <cellStyle name="Normal 15" xfId="155"/>
    <cellStyle name="Normal 2 2 2" xfId="156"/>
    <cellStyle name="Normal 2 2 2 2" xfId="157"/>
    <cellStyle name="Normal 2 2 2 3" xfId="158"/>
    <cellStyle name="Normal 2 2 2 4" xfId="159"/>
    <cellStyle name="Normal 2 2 3" xfId="160"/>
    <cellStyle name="Normal 2 45" xfId="161"/>
    <cellStyle name="Normal 2 45 2" xfId="162"/>
    <cellStyle name="Normal 2 45 2 2" xfId="163"/>
    <cellStyle name="Normal 2 46" xfId="164"/>
    <cellStyle name="Normal 2 47" xfId="165"/>
    <cellStyle name="Normal 2 48" xfId="166"/>
    <cellStyle name="Normal 2 49" xfId="167"/>
    <cellStyle name="Normal 2 49 2" xfId="168"/>
    <cellStyle name="Normal 3 2 4" xfId="169"/>
    <cellStyle name="Normal 3 2 3" xfId="170"/>
    <cellStyle name="Normal 3 3" xfId="171"/>
    <cellStyle name="Normal 5 5" xfId="172"/>
    <cellStyle name="Normal 5 2" xfId="173"/>
    <cellStyle name="Normal 5 3" xfId="174"/>
    <cellStyle name="Normal 5 4" xfId="175"/>
    <cellStyle name="Normal 8 4" xfId="176"/>
    <cellStyle name="Normal 8 2" xfId="177"/>
    <cellStyle name="Normal 8 3" xfId="178"/>
    <cellStyle name="Note 2 2" xfId="179"/>
    <cellStyle name="Percent 2 2" xfId="180"/>
    <cellStyle name="Normal 16" xfId="181"/>
    <cellStyle name="Normal 17" xfId="182"/>
    <cellStyle name="Normal 24" xfId="183"/>
    <cellStyle name="Normal 12 5" xfId="184"/>
    <cellStyle name="Normal 24 2" xfId="185"/>
    <cellStyle name="Normal 16 2" xfId="186"/>
    <cellStyle name="Normal 17 2" xfId="187"/>
    <cellStyle name="Comma 2 2 2" xfId="188"/>
    <cellStyle name="Comma 2 3" xfId="189"/>
    <cellStyle name="Normal 10 2 3" xfId="190"/>
    <cellStyle name="Normal 10 4" xfId="191"/>
    <cellStyle name="Normal 11 2 2 3" xfId="192"/>
    <cellStyle name="Normal 13 4" xfId="193"/>
    <cellStyle name="Normal 14 2" xfId="194"/>
    <cellStyle name="Normal 16 3" xfId="195"/>
    <cellStyle name="Normal 17 3" xfId="196"/>
    <cellStyle name="Normal 2 2 2 4 2" xfId="197"/>
    <cellStyle name="Normal 2 2 3 2" xfId="198"/>
    <cellStyle name="Normal 2 45 2 2 2" xfId="199"/>
    <cellStyle name="Normal 2 45 2 3" xfId="200"/>
    <cellStyle name="Normal 2 45 2 4" xfId="201"/>
    <cellStyle name="Normal 2 45 3" xfId="202"/>
    <cellStyle name="Normal 2 46 2" xfId="203"/>
    <cellStyle name="Normal 2 48 2" xfId="204"/>
    <cellStyle name="Normal 2 49 3" xfId="205"/>
    <cellStyle name="Normal 2 50" xfId="206"/>
    <cellStyle name="Normal 20 2 2" xfId="207"/>
    <cellStyle name="Normal 20 3" xfId="208"/>
    <cellStyle name="Normal 21 2 2" xfId="209"/>
    <cellStyle name="Normal 21 3" xfId="210"/>
    <cellStyle name="Normal 22 2 2" xfId="211"/>
    <cellStyle name="Normal 22 3" xfId="212"/>
    <cellStyle name="Normal 23 2 2" xfId="213"/>
    <cellStyle name="Normal 23 3" xfId="214"/>
    <cellStyle name="Normal 3 2 2 2" xfId="215"/>
    <cellStyle name="Normal 3 2 4 2" xfId="216"/>
    <cellStyle name="Normal 3 4" xfId="217"/>
    <cellStyle name="Normal 4 2 2" xfId="218"/>
    <cellStyle name="Normal 4 3" xfId="219"/>
    <cellStyle name="Normal 41 2 2" xfId="220"/>
    <cellStyle name="Normal 41 3" xfId="221"/>
    <cellStyle name="Normal 42 2 2" xfId="222"/>
    <cellStyle name="Normal 42 3" xfId="223"/>
    <cellStyle name="Normal 5 2 2" xfId="224"/>
    <cellStyle name="Normal 5 4 2" xfId="225"/>
    <cellStyle name="Normal 6 2" xfId="226"/>
    <cellStyle name="Normal 7 2 2" xfId="227"/>
    <cellStyle name="Normal 7 3" xfId="228"/>
    <cellStyle name="Normal 9 2 2" xfId="229"/>
    <cellStyle name="Normal 9 3" xfId="230"/>
    <cellStyle name="Percent 2 2 2" xfId="231"/>
    <cellStyle name="Percent 2 3" xfId="232"/>
    <cellStyle name="Normal 18" xfId="233"/>
    <cellStyle name="Normal 2 51" xfId="234"/>
    <cellStyle name="Normal 3 6" xfId="235"/>
    <cellStyle name="20% - Accent1 2" xfId="236"/>
    <cellStyle name="40% - Accent1 2" xfId="237"/>
    <cellStyle name="20% - Accent2 2" xfId="238"/>
    <cellStyle name="40% - Accent2 2" xfId="239"/>
    <cellStyle name="20% - Accent3 2" xfId="240"/>
    <cellStyle name="40% - Accent3 2" xfId="241"/>
    <cellStyle name="20% - Accent4 2" xfId="242"/>
    <cellStyle name="40% - Accent4 2" xfId="243"/>
    <cellStyle name="20% - Accent5 2" xfId="244"/>
    <cellStyle name="40% - Accent5 2" xfId="245"/>
    <cellStyle name="20% - Accent6 2" xfId="246"/>
    <cellStyle name="40% - Accent6 2" xfId="247"/>
    <cellStyle name="Normal 2 10 2" xfId="248"/>
    <cellStyle name="Normal 2 11 2" xfId="249"/>
    <cellStyle name="Normal 2 12 2" xfId="250"/>
    <cellStyle name="Normal 2 13 2" xfId="251"/>
    <cellStyle name="Normal 2 14 2" xfId="252"/>
    <cellStyle name="Normal 2 15 2" xfId="253"/>
    <cellStyle name="Normal 2 16 2" xfId="254"/>
    <cellStyle name="Normal 2 17 2" xfId="255"/>
    <cellStyle name="Normal 2 18 2" xfId="256"/>
    <cellStyle name="Normal 2 19 2" xfId="257"/>
    <cellStyle name="Normal 2 2 4" xfId="258"/>
    <cellStyle name="Normal 2 20 2" xfId="259"/>
    <cellStyle name="Normal 2 21 2" xfId="260"/>
    <cellStyle name="Normal 2 22 2" xfId="261"/>
    <cellStyle name="Normal 2 23 2" xfId="262"/>
    <cellStyle name="Normal 2 24 2" xfId="263"/>
    <cellStyle name="Normal 2 25 2" xfId="264"/>
    <cellStyle name="Normal 2 26 2" xfId="265"/>
    <cellStyle name="Normal 2 27 2" xfId="266"/>
    <cellStyle name="Normal 2 28 2" xfId="267"/>
    <cellStyle name="Normal 2 29 2" xfId="268"/>
    <cellStyle name="Normal 2 3 2" xfId="269"/>
    <cellStyle name="Normal 2 30 2" xfId="270"/>
    <cellStyle name="Normal 2 31 2" xfId="271"/>
    <cellStyle name="Normal 2 32 2" xfId="272"/>
    <cellStyle name="Normal 2 33 2" xfId="273"/>
    <cellStyle name="Normal 2 34 2" xfId="274"/>
    <cellStyle name="Normal 2 35 2" xfId="275"/>
    <cellStyle name="Normal 2 36 2" xfId="276"/>
    <cellStyle name="Normal 2 37 2" xfId="277"/>
    <cellStyle name="Normal 2 38 2" xfId="278"/>
    <cellStyle name="Normal 2 39 2" xfId="279"/>
    <cellStyle name="Normal 2 4 2" xfId="280"/>
    <cellStyle name="Normal 2 40 2" xfId="281"/>
    <cellStyle name="Normal 2 41 2" xfId="282"/>
    <cellStyle name="Normal 2 42 2" xfId="283"/>
    <cellStyle name="Normal 2 43 2" xfId="284"/>
    <cellStyle name="Normal 2 44 2" xfId="285"/>
    <cellStyle name="Normal 2 5 2" xfId="286"/>
    <cellStyle name="Normal 2 6 2" xfId="287"/>
    <cellStyle name="Normal 2 7 2" xfId="288"/>
    <cellStyle name="Normal 2 8 2" xfId="289"/>
    <cellStyle name="Normal 2 9 2" xfId="290"/>
    <cellStyle name="Normal 43 3" xfId="291"/>
    <cellStyle name="Note 2 4" xfId="292"/>
    <cellStyle name="Note 3 3" xfId="293"/>
    <cellStyle name="Note 4 2" xfId="294"/>
    <cellStyle name="Normal 8 4 3" xfId="295"/>
    <cellStyle name="Normal 2 2 2 5" xfId="296"/>
    <cellStyle name="Normal 2 2 2 2 2" xfId="297"/>
    <cellStyle name="Normal 2 2 2 3 2" xfId="298"/>
    <cellStyle name="Normal 2 47 2" xfId="299"/>
    <cellStyle name="Normal 3 2 3 2" xfId="300"/>
    <cellStyle name="Normal 3 3 2" xfId="301"/>
    <cellStyle name="Normal 5 3 2" xfId="302"/>
    <cellStyle name="Note 2 2 2" xfId="303"/>
    <cellStyle name="Normal 3 4 2" xfId="304"/>
    <cellStyle name="Normal 8 3 2" xfId="305"/>
    <cellStyle name="Note 5" xfId="306"/>
    <cellStyle name="Normal 12 2 4" xfId="307"/>
    <cellStyle name="Normal 44" xfId="308"/>
    <cellStyle name="Normal 11 2 3" xfId="309"/>
    <cellStyle name="Normal 14 3" xfId="310"/>
    <cellStyle name="Normal 2 50 2" xfId="311"/>
    <cellStyle name="Normal 3 5" xfId="312"/>
    <cellStyle name="Normal 43 2" xfId="313"/>
    <cellStyle name="Normal 5 5 4" xfId="314"/>
    <cellStyle name="Note 2 3" xfId="315"/>
    <cellStyle name="Note 3 2" xfId="316"/>
    <cellStyle name="Normal 15 2" xfId="317"/>
    <cellStyle name="Normal 2 49 2 2" xfId="318"/>
    <cellStyle name="Normal 17 2 2" xfId="319"/>
    <cellStyle name="Normal 2 45 2 4 2" xfId="320"/>
    <cellStyle name="Normal 12 6" xfId="321"/>
    <cellStyle name="Normal 3 8" xfId="322"/>
    <cellStyle name="Normal 19" xfId="323"/>
    <cellStyle name="Normal 2 10 5" xfId="324"/>
    <cellStyle name="20% - Accent1 2 2" xfId="325"/>
    <cellStyle name="20% - Accent1 3" xfId="326"/>
    <cellStyle name="20% - Accent1 4" xfId="327"/>
    <cellStyle name="20% - Accent2 2 2" xfId="328"/>
    <cellStyle name="20% - Accent2 3" xfId="329"/>
    <cellStyle name="20% - Accent2 4" xfId="330"/>
    <cellStyle name="20% - Accent3 2 2" xfId="331"/>
    <cellStyle name="20% - Accent3 3" xfId="332"/>
    <cellStyle name="20% - Accent3 4" xfId="333"/>
    <cellStyle name="20% - Accent4 2 2" xfId="334"/>
    <cellStyle name="20% - Accent4 3" xfId="335"/>
    <cellStyle name="20% - Accent4 4" xfId="336"/>
    <cellStyle name="20% - Accent5 2 2" xfId="337"/>
    <cellStyle name="20% - Accent5 3" xfId="338"/>
    <cellStyle name="20% - Accent5 4" xfId="339"/>
    <cellStyle name="20% - Accent6 2 2" xfId="340"/>
    <cellStyle name="20% - Accent6 3" xfId="341"/>
    <cellStyle name="20% - Accent6 4" xfId="342"/>
    <cellStyle name="40% - Accent1 2 2" xfId="343"/>
    <cellStyle name="40% - Accent1 3" xfId="344"/>
    <cellStyle name="40% - Accent1 4" xfId="345"/>
    <cellStyle name="40% - Accent2 2 2" xfId="346"/>
    <cellStyle name="40% - Accent2 3" xfId="347"/>
    <cellStyle name="40% - Accent2 4" xfId="348"/>
    <cellStyle name="40% - Accent3 2 2" xfId="349"/>
    <cellStyle name="40% - Accent3 3" xfId="350"/>
    <cellStyle name="40% - Accent3 4" xfId="351"/>
    <cellStyle name="40% - Accent4 2 2" xfId="352"/>
    <cellStyle name="40% - Accent4 3" xfId="353"/>
    <cellStyle name="40% - Accent4 4" xfId="354"/>
    <cellStyle name="40% - Accent5 2 2" xfId="355"/>
    <cellStyle name="40% - Accent5 3" xfId="356"/>
    <cellStyle name="40% - Accent5 4" xfId="357"/>
    <cellStyle name="40% - Accent6 2 2" xfId="358"/>
    <cellStyle name="40% - Accent6 3" xfId="359"/>
    <cellStyle name="40% - Accent6 4" xfId="360"/>
    <cellStyle name="Normal 12 2 3" xfId="361"/>
    <cellStyle name="Normal 12 2 2" xfId="362"/>
    <cellStyle name="Normal 12 3 2" xfId="363"/>
    <cellStyle name="Normal 12 4" xfId="364"/>
    <cellStyle name="Normal 18 2" xfId="365"/>
    <cellStyle name="Normal 2 10 2 2" xfId="366"/>
    <cellStyle name="Normal 2 10 3" xfId="367"/>
    <cellStyle name="Normal 2 10 4" xfId="368"/>
    <cellStyle name="Normal 2 11 5" xfId="369"/>
    <cellStyle name="Normal 2 11 2 2" xfId="370"/>
    <cellStyle name="Normal 2 11 3" xfId="371"/>
    <cellStyle name="Normal 2 11 4" xfId="372"/>
    <cellStyle name="Normal 2 12 5" xfId="373"/>
    <cellStyle name="Normal 2 12 2 2" xfId="374"/>
    <cellStyle name="Normal 2 12 3" xfId="375"/>
    <cellStyle name="Normal 2 12 4" xfId="376"/>
    <cellStyle name="Normal 2 13 5" xfId="377"/>
    <cellStyle name="Normal 2 13 2 2" xfId="378"/>
    <cellStyle name="Normal 2 13 3" xfId="379"/>
    <cellStyle name="Normal 2 13 4" xfId="380"/>
    <cellStyle name="Normal 2 14 5" xfId="381"/>
    <cellStyle name="Normal 2 14 2 2" xfId="382"/>
    <cellStyle name="Normal 2 14 3" xfId="383"/>
    <cellStyle name="Normal 2 14 4" xfId="384"/>
    <cellStyle name="Normal 2 15 5" xfId="385"/>
    <cellStyle name="Normal 2 15 2 2" xfId="386"/>
    <cellStyle name="Normal 2 15 3" xfId="387"/>
    <cellStyle name="Normal 2 15 4" xfId="388"/>
    <cellStyle name="Normal 2 16 5" xfId="389"/>
    <cellStyle name="Normal 2 16 2 2" xfId="390"/>
    <cellStyle name="Normal 2 16 3" xfId="391"/>
    <cellStyle name="Normal 2 16 4" xfId="392"/>
    <cellStyle name="Normal 2 17 5" xfId="393"/>
    <cellStyle name="Normal 2 17 2 2" xfId="394"/>
    <cellStyle name="Normal 2 17 3" xfId="395"/>
    <cellStyle name="Normal 2 17 4" xfId="396"/>
    <cellStyle name="Normal 2 18 5" xfId="397"/>
    <cellStyle name="Normal 2 18 2 2" xfId="398"/>
    <cellStyle name="Normal 2 18 3" xfId="399"/>
    <cellStyle name="Normal 2 18 4" xfId="400"/>
    <cellStyle name="Normal 2 19 5" xfId="401"/>
    <cellStyle name="Normal 2 19 2 2" xfId="402"/>
    <cellStyle name="Normal 2 19 3" xfId="403"/>
    <cellStyle name="Normal 2 19 4" xfId="404"/>
    <cellStyle name="Normal 2 2 7" xfId="405"/>
    <cellStyle name="Normal 2 2 2 7" xfId="406"/>
    <cellStyle name="Normal 2 2 2 2 5" xfId="407"/>
    <cellStyle name="Normal 2 2 2 2 2 2" xfId="408"/>
    <cellStyle name="Normal 2 2 2 2 3" xfId="409"/>
    <cellStyle name="Normal 2 2 2 2 4" xfId="410"/>
    <cellStyle name="Normal 2 2 2 3 5" xfId="411"/>
    <cellStyle name="Normal 2 2 2 3 2 2" xfId="412"/>
    <cellStyle name="Normal 2 2 2 3 3" xfId="413"/>
    <cellStyle name="Normal 2 2 2 3 4" xfId="414"/>
    <cellStyle name="Normal 2 2 2 5 2" xfId="415"/>
    <cellStyle name="Normal 2 2 2 6" xfId="416"/>
    <cellStyle name="Normal 2 2 4 2" xfId="417"/>
    <cellStyle name="Normal 2 2 5" xfId="418"/>
    <cellStyle name="Normal 2 2 6" xfId="419"/>
    <cellStyle name="Normal 2 20 5" xfId="420"/>
    <cellStyle name="Normal 2 20 2 2" xfId="421"/>
    <cellStyle name="Normal 2 20 3" xfId="422"/>
    <cellStyle name="Normal 2 20 4" xfId="423"/>
    <cellStyle name="Normal 2 21 5" xfId="424"/>
    <cellStyle name="Normal 2 21 2 2" xfId="425"/>
    <cellStyle name="Normal 2 21 3" xfId="426"/>
    <cellStyle name="Normal 2 21 4" xfId="427"/>
    <cellStyle name="Normal 2 22 5" xfId="428"/>
    <cellStyle name="Normal 2 22 2 2" xfId="429"/>
    <cellStyle name="Normal 2 22 3" xfId="430"/>
    <cellStyle name="Normal 2 22 4" xfId="431"/>
    <cellStyle name="Normal 2 23 5" xfId="432"/>
    <cellStyle name="Normal 2 23 2 2" xfId="433"/>
    <cellStyle name="Normal 2 23 3" xfId="434"/>
    <cellStyle name="Normal 2 23 4" xfId="435"/>
    <cellStyle name="Normal 2 24 5" xfId="436"/>
    <cellStyle name="Normal 2 24 2 2" xfId="437"/>
    <cellStyle name="Normal 2 24 3" xfId="438"/>
    <cellStyle name="Normal 2 24 4" xfId="439"/>
    <cellStyle name="Normal 2 25 5" xfId="440"/>
    <cellStyle name="Normal 2 25 2 2" xfId="441"/>
    <cellStyle name="Normal 2 25 3" xfId="442"/>
    <cellStyle name="Normal 2 25 4" xfId="443"/>
    <cellStyle name="Normal 2 26 5" xfId="444"/>
    <cellStyle name="Normal 2 26 2 2" xfId="445"/>
    <cellStyle name="Normal 2 26 3" xfId="446"/>
    <cellStyle name="Normal 2 26 4" xfId="447"/>
    <cellStyle name="Normal 2 27 5" xfId="448"/>
    <cellStyle name="Normal 2 27 2 2" xfId="449"/>
    <cellStyle name="Normal 2 27 3" xfId="450"/>
    <cellStyle name="Normal 2 27 4" xfId="451"/>
    <cellStyle name="Normal 2 28 5" xfId="452"/>
    <cellStyle name="Normal 2 28 2 2" xfId="453"/>
    <cellStyle name="Normal 2 28 3" xfId="454"/>
    <cellStyle name="Normal 2 28 4" xfId="455"/>
    <cellStyle name="Normal 2 29 5" xfId="456"/>
    <cellStyle name="Normal 2 29 2 2" xfId="457"/>
    <cellStyle name="Normal 2 29 3" xfId="458"/>
    <cellStyle name="Normal 2 29 4" xfId="459"/>
    <cellStyle name="Normal 2 3 5" xfId="460"/>
    <cellStyle name="Normal 2 3 2 2" xfId="461"/>
    <cellStyle name="Normal 2 3 3" xfId="462"/>
    <cellStyle name="Normal 2 3 4" xfId="463"/>
    <cellStyle name="Normal 2 30 5" xfId="464"/>
    <cellStyle name="Normal 2 30 2 2" xfId="465"/>
    <cellStyle name="Normal 2 30 3" xfId="466"/>
    <cellStyle name="Normal 2 30 4" xfId="467"/>
    <cellStyle name="Normal 2 31 5" xfId="468"/>
    <cellStyle name="Normal 2 31 2 2" xfId="469"/>
    <cellStyle name="Normal 2 31 3" xfId="470"/>
    <cellStyle name="Normal 2 31 4" xfId="471"/>
    <cellStyle name="Normal 2 32 5" xfId="472"/>
    <cellStyle name="Normal 2 32 2 2" xfId="473"/>
    <cellStyle name="Normal 2 32 3" xfId="474"/>
    <cellStyle name="Normal 2 32 4" xfId="475"/>
    <cellStyle name="Normal 2 33 5" xfId="476"/>
    <cellStyle name="Normal 2 33 2 2" xfId="477"/>
    <cellStyle name="Normal 2 33 3" xfId="478"/>
    <cellStyle name="Normal 2 33 4" xfId="479"/>
    <cellStyle name="Normal 2 34 5" xfId="480"/>
    <cellStyle name="Normal 2 34 2 2" xfId="481"/>
    <cellStyle name="Normal 2 34 3" xfId="482"/>
    <cellStyle name="Normal 2 34 4" xfId="483"/>
    <cellStyle name="Normal 2 35 5" xfId="484"/>
    <cellStyle name="Normal 2 35 2 2" xfId="485"/>
    <cellStyle name="Normal 2 35 3" xfId="486"/>
    <cellStyle name="Normal 2 35 4" xfId="487"/>
    <cellStyle name="Normal 2 36 5" xfId="488"/>
    <cellStyle name="Normal 2 36 2 2" xfId="489"/>
    <cellStyle name="Normal 2 36 3" xfId="490"/>
    <cellStyle name="Normal 2 36 4" xfId="491"/>
    <cellStyle name="Normal 2 37 5" xfId="492"/>
    <cellStyle name="Normal 2 37 2 2" xfId="493"/>
    <cellStyle name="Normal 2 37 3" xfId="494"/>
    <cellStyle name="Normal 2 37 4" xfId="495"/>
    <cellStyle name="Normal 2 38 5" xfId="496"/>
    <cellStyle name="Normal 2 38 2 2" xfId="497"/>
    <cellStyle name="Normal 2 38 3" xfId="498"/>
    <cellStyle name="Normal 2 38 4" xfId="499"/>
    <cellStyle name="Normal 2 39 5" xfId="500"/>
    <cellStyle name="Normal 2 39 2 2" xfId="501"/>
    <cellStyle name="Normal 2 39 3" xfId="502"/>
    <cellStyle name="Normal 2 39 4" xfId="503"/>
    <cellStyle name="Normal 2 4 5" xfId="504"/>
    <cellStyle name="Normal 2 4 2 2" xfId="505"/>
    <cellStyle name="Normal 2 4 3" xfId="506"/>
    <cellStyle name="Normal 2 4 4" xfId="507"/>
    <cellStyle name="Normal 2 40 5" xfId="508"/>
    <cellStyle name="Normal 2 40 2 2" xfId="509"/>
    <cellStyle name="Normal 2 40 3" xfId="510"/>
    <cellStyle name="Normal 2 40 4" xfId="511"/>
    <cellStyle name="Normal 2 41 5" xfId="512"/>
    <cellStyle name="Normal 2 41 2 2" xfId="513"/>
    <cellStyle name="Normal 2 41 3" xfId="514"/>
    <cellStyle name="Normal 2 41 4" xfId="515"/>
    <cellStyle name="Normal 2 42 5" xfId="516"/>
    <cellStyle name="Normal 2 42 2 2" xfId="517"/>
    <cellStyle name="Normal 2 42 3" xfId="518"/>
    <cellStyle name="Normal 2 42 4" xfId="519"/>
    <cellStyle name="Normal 2 43 5" xfId="520"/>
    <cellStyle name="Normal 2 43 2 2" xfId="521"/>
    <cellStyle name="Normal 2 43 3" xfId="522"/>
    <cellStyle name="Normal 2 43 4" xfId="523"/>
    <cellStyle name="Normal 2 44 5" xfId="524"/>
    <cellStyle name="Normal 2 44 2 2" xfId="525"/>
    <cellStyle name="Normal 2 44 3" xfId="526"/>
    <cellStyle name="Normal 2 44 4" xfId="527"/>
    <cellStyle name="Normal 2 47 5" xfId="528"/>
    <cellStyle name="Normal 2 47 2 2" xfId="529"/>
    <cellStyle name="Normal 2 47 3" xfId="530"/>
    <cellStyle name="Normal 2 47 4" xfId="531"/>
    <cellStyle name="Normal 2 5 5" xfId="532"/>
    <cellStyle name="Normal 2 5 2 2" xfId="533"/>
    <cellStyle name="Normal 2 5 3" xfId="534"/>
    <cellStyle name="Normal 2 5 4" xfId="535"/>
    <cellStyle name="Normal 2 51 2" xfId="536"/>
    <cellStyle name="Normal 2 52" xfId="537"/>
    <cellStyle name="Normal 2 53" xfId="538"/>
    <cellStyle name="Normal 2 6 5" xfId="539"/>
    <cellStyle name="Normal 2 6 2 2" xfId="540"/>
    <cellStyle name="Normal 2 6 3" xfId="541"/>
    <cellStyle name="Normal 2 6 4" xfId="542"/>
    <cellStyle name="Normal 2 7 5" xfId="543"/>
    <cellStyle name="Normal 2 7 2 2" xfId="544"/>
    <cellStyle name="Normal 2 7 3" xfId="545"/>
    <cellStyle name="Normal 2 7 4" xfId="546"/>
    <cellStyle name="Normal 2 8 5" xfId="547"/>
    <cellStyle name="Normal 2 8 2 2" xfId="548"/>
    <cellStyle name="Normal 2 8 3" xfId="549"/>
    <cellStyle name="Normal 2 8 4" xfId="550"/>
    <cellStyle name="Normal 2 9 5" xfId="551"/>
    <cellStyle name="Normal 2 9 2 2" xfId="552"/>
    <cellStyle name="Normal 2 9 3" xfId="553"/>
    <cellStyle name="Normal 2 9 4" xfId="554"/>
    <cellStyle name="Normal 3 9" xfId="555"/>
    <cellStyle name="Normal 3 2 3 5" xfId="556"/>
    <cellStyle name="Normal 3 2 3 2 2" xfId="557"/>
    <cellStyle name="Normal 3 2 3 3" xfId="558"/>
    <cellStyle name="Normal 3 2 3 4" xfId="559"/>
    <cellStyle name="Normal 3 2 5" xfId="560"/>
    <cellStyle name="Normal 3 3 5" xfId="561"/>
    <cellStyle name="Normal 3 3 2 2" xfId="562"/>
    <cellStyle name="Normal 3 3 3" xfId="563"/>
    <cellStyle name="Normal 3 3 4" xfId="564"/>
    <cellStyle name="Normal 3 4 5" xfId="565"/>
    <cellStyle name="Normal 3 4 2 2" xfId="566"/>
    <cellStyle name="Normal 3 4 3" xfId="567"/>
    <cellStyle name="Normal 3 4 4" xfId="568"/>
    <cellStyle name="Normal 3 6 2" xfId="569"/>
    <cellStyle name="Normal 3 7" xfId="570"/>
    <cellStyle name="Normal 43 6" xfId="571"/>
    <cellStyle name="Normal 43 2 3" xfId="572"/>
    <cellStyle name="Normal 43 2 2" xfId="573"/>
    <cellStyle name="Normal 43 3 2" xfId="574"/>
    <cellStyle name="Normal 43 4" xfId="575"/>
    <cellStyle name="Normal 43 5" xfId="576"/>
    <cellStyle name="Normal 5 7" xfId="577"/>
    <cellStyle name="Normal 5 3 5" xfId="578"/>
    <cellStyle name="Normal 5 3 2 2" xfId="579"/>
    <cellStyle name="Normal 5 3 3" xfId="580"/>
    <cellStyle name="Normal 5 3 4" xfId="581"/>
    <cellStyle name="Normal 5 5 3" xfId="582"/>
    <cellStyle name="Normal 5 5 2" xfId="583"/>
    <cellStyle name="Normal 5 6" xfId="584"/>
    <cellStyle name="Normal 8 6" xfId="585"/>
    <cellStyle name="Normal 8 3 5" xfId="586"/>
    <cellStyle name="Normal 8 3 2 2" xfId="587"/>
    <cellStyle name="Normal 8 3 3" xfId="588"/>
    <cellStyle name="Normal 8 3 4" xfId="589"/>
    <cellStyle name="Normal 8 4 2" xfId="590"/>
    <cellStyle name="Normal 8 5" xfId="591"/>
    <cellStyle name="Note 2 7" xfId="592"/>
    <cellStyle name="Note 2 2 5" xfId="593"/>
    <cellStyle name="Note 2 2 2 2" xfId="594"/>
    <cellStyle name="Note 2 2 3" xfId="595"/>
    <cellStyle name="Note 2 2 4" xfId="596"/>
    <cellStyle name="Note 2 3 3" xfId="597"/>
    <cellStyle name="Note 2 3 2" xfId="598"/>
    <cellStyle name="Note 2 4 2" xfId="599"/>
    <cellStyle name="Note 2 5" xfId="600"/>
    <cellStyle name="Note 2 6" xfId="601"/>
    <cellStyle name="Note 3 6" xfId="602"/>
    <cellStyle name="Note 3 2 3" xfId="603"/>
    <cellStyle name="Note 3 2 2" xfId="604"/>
    <cellStyle name="Note 3 3 2" xfId="605"/>
    <cellStyle name="Note 3 4" xfId="606"/>
    <cellStyle name="Note 3 5" xfId="607"/>
    <cellStyle name="Note 4 5" xfId="608"/>
    <cellStyle name="Note 4 2 2" xfId="609"/>
    <cellStyle name="Note 4 3" xfId="610"/>
    <cellStyle name="Note 4 4" xfId="611"/>
    <cellStyle name="Note 5 2" xfId="612"/>
    <cellStyle name="Note 6" xfId="613"/>
    <cellStyle name="20% - Accent1 5" xfId="614"/>
    <cellStyle name="40% - Accent1 5" xfId="615"/>
    <cellStyle name="20% - Accent2 5" xfId="616"/>
    <cellStyle name="40% - Accent2 5" xfId="617"/>
    <cellStyle name="20% - Accent3 5" xfId="618"/>
    <cellStyle name="40% - Accent3 5" xfId="619"/>
    <cellStyle name="20% - Accent4 5" xfId="620"/>
    <cellStyle name="40% - Accent4 5" xfId="621"/>
    <cellStyle name="20% - Accent5 5" xfId="622"/>
    <cellStyle name="40% - Accent5 5" xfId="623"/>
    <cellStyle name="20% - Accent6 5" xfId="624"/>
    <cellStyle name="40% - Accent6 5" xfId="625"/>
    <cellStyle name="Normal 24 3" xfId="626"/>
    <cellStyle name="Note 7" xfId="627"/>
    <cellStyle name="Comma 2 4" xfId="628"/>
    <cellStyle name="Percent 2 4" xfId="629"/>
  </cellStyles>
  <dxfs count="57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"/>
          <c:y val="0.0315"/>
          <c:w val="0.806"/>
          <c:h val="0.7925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'Weekly Summary'!$A$3:$A$73</c:f>
              <c:strCache/>
            </c:strRef>
          </c:xVal>
          <c:yVal>
            <c:numRef>
              <c:f>'Weekly Summary'!$S$3:$S$72</c:f>
              <c:numCache/>
            </c:numRef>
          </c:yVal>
          <c:smooth val="1"/>
        </c:ser>
        <c:axId val="63281843"/>
        <c:axId val="32665676"/>
      </c:scatterChart>
      <c:valAx>
        <c:axId val="63281843"/>
        <c:scaling>
          <c:orientation val="minMax"/>
          <c:min val="414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Friday Dates</a:t>
                </a:r>
              </a:p>
            </c:rich>
          </c:tx>
          <c:layout>
            <c:manualLayout>
              <c:xMode val="edge"/>
              <c:yMode val="edge"/>
              <c:x val="0.436"/>
              <c:y val="0.9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gradFill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/>
              </a:gra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>
            <a:gradFill rotWithShape="1"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/>
            </a:gradFill>
          </a:ln>
        </c:spPr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2665676"/>
        <c:crosses val="autoZero"/>
        <c:crossBetween val="midCat"/>
        <c:dispUnits/>
        <c:majorUnit val="7"/>
      </c:valAx>
      <c:valAx>
        <c:axId val="326656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u="none" baseline="0">
                    <a:solidFill>
                      <a:srgbClr val="00B050"/>
                    </a:solidFill>
                    <a:latin typeface="Calibri"/>
                    <a:ea typeface="Calibri"/>
                    <a:cs typeface="Calibri"/>
                  </a:rPr>
                  <a:t>Portfolio Percentage</a:t>
                </a:r>
                <a:r>
                  <a:rPr lang="en-US" cap="none" sz="1400" u="none" baseline="0">
                    <a:solidFill>
                      <a:srgbClr val="00B05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400" u="none" baseline="0">
                    <a:solidFill>
                      <a:srgbClr val="00B050"/>
                    </a:solidFill>
                    <a:latin typeface="Calibri"/>
                    <a:ea typeface="Calibri"/>
                    <a:cs typeface="Calibri"/>
                  </a:rPr>
                  <a:t> Gained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gradFill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/>
              </a:gra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3281843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"/>
          <c:y val="0.024"/>
          <c:w val="0.806"/>
          <c:h val="0.7925"/>
        </c:manualLayout>
      </c:layout>
      <c:scatterChart>
        <c:scatterStyle val="smooth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'Weekly Summary'!$A$2:$A$45</c:f>
              <c:strCache/>
            </c:strRef>
          </c:xVal>
          <c:yVal>
            <c:numRef>
              <c:f>'Weekly Summary'!$E$2:$E$45</c:f>
              <c:numCache/>
            </c:numRef>
          </c:yVal>
          <c:smooth val="1"/>
        </c:ser>
        <c:axId val="25555629"/>
        <c:axId val="28674070"/>
      </c:scatterChart>
      <c:valAx>
        <c:axId val="25555629"/>
        <c:scaling>
          <c:orientation val="minMax"/>
          <c:min val="419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Friday Dates</a:t>
                </a:r>
              </a:p>
            </c:rich>
          </c:tx>
          <c:layout>
            <c:manualLayout>
              <c:xMode val="edge"/>
              <c:yMode val="edge"/>
              <c:x val="0.436"/>
              <c:y val="0.9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gradFill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/>
              </a:gra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>
            <a:gradFill rotWithShape="1"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/>
            </a:gradFill>
          </a:ln>
        </c:spPr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8674070"/>
        <c:crosses val="autoZero"/>
        <c:crossBetween val="midCat"/>
        <c:dispUnits/>
        <c:majorUnit val="7"/>
      </c:valAx>
      <c:valAx>
        <c:axId val="286740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C00000"/>
                    </a:solidFill>
                    <a:latin typeface="Calibri"/>
                    <a:ea typeface="Calibri"/>
                    <a:cs typeface="Calibri"/>
                  </a:rPr>
                  <a:t>Percent Invested Net Long</a:t>
                </a:r>
              </a:p>
            </c:rich>
          </c:tx>
          <c:layout>
            <c:manualLayout>
              <c:xMode val="edge"/>
              <c:yMode val="edge"/>
              <c:x val="0.035"/>
              <c:y val="0.3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gradFill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/>
              </a:gra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555562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014"/>
          <c:w val="0.9225"/>
          <c:h val="0.83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FF99"/>
                </a:solidFill>
              </a:ln>
            </c:spPr>
            <c:trendlineType val="poly"/>
            <c:order val="2"/>
            <c:dispEq val="0"/>
            <c:dispRSqr val="0"/>
          </c:trendline>
          <c:xVal>
            <c:strRef>
              <c:f>'Weekly Summary'!$A$2:$A$45</c:f>
              <c:strCache/>
            </c:strRef>
          </c:xVal>
          <c:yVal>
            <c:numRef>
              <c:f>'Weekly Summary'!$B$2:$B$45</c:f>
              <c:numCache/>
            </c:numRef>
          </c:yVal>
          <c:smooth val="0"/>
        </c:ser>
        <c:axId val="56740039"/>
        <c:axId val="40898304"/>
      </c:scatterChart>
      <c:valAx>
        <c:axId val="56740039"/>
        <c:scaling>
          <c:orientation val="minMax"/>
          <c:max val="42321"/>
          <c:min val="42006"/>
        </c:scaling>
        <c:axPos val="b"/>
        <c:delete val="0"/>
        <c:numFmt formatCode="m/d/yyyy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40898304"/>
        <c:crossesAt val="-1"/>
        <c:crossBetween val="midCat"/>
        <c:dispUnits/>
        <c:majorUnit val="7"/>
      </c:valAx>
      <c:valAx>
        <c:axId val="40898304"/>
        <c:scaling>
          <c:orientation val="minMax"/>
          <c:min val="0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5674003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590550</xdr:colOff>
      <xdr:row>110</xdr:row>
      <xdr:rowOff>76200</xdr:rowOff>
    </xdr:from>
    <xdr:to>
      <xdr:col>35</xdr:col>
      <xdr:colOff>333375</xdr:colOff>
      <xdr:row>139</xdr:row>
      <xdr:rowOff>190500</xdr:rowOff>
    </xdr:to>
    <xdr:graphicFrame macro="">
      <xdr:nvGraphicFramePr>
        <xdr:cNvPr id="6" name="Chart 5"/>
        <xdr:cNvGraphicFramePr/>
      </xdr:nvGraphicFramePr>
      <xdr:xfrm>
        <a:off x="23307675" y="21412200"/>
        <a:ext cx="88868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82</xdr:row>
      <xdr:rowOff>47625</xdr:rowOff>
    </xdr:from>
    <xdr:to>
      <xdr:col>16</xdr:col>
      <xdr:colOff>495300</xdr:colOff>
      <xdr:row>109</xdr:row>
      <xdr:rowOff>38100</xdr:rowOff>
    </xdr:to>
    <xdr:graphicFrame macro="">
      <xdr:nvGraphicFramePr>
        <xdr:cNvPr id="7" name="Chart 6"/>
        <xdr:cNvGraphicFramePr/>
      </xdr:nvGraphicFramePr>
      <xdr:xfrm>
        <a:off x="847725" y="16049625"/>
        <a:ext cx="104394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47</xdr:row>
      <xdr:rowOff>114300</xdr:rowOff>
    </xdr:from>
    <xdr:to>
      <xdr:col>16</xdr:col>
      <xdr:colOff>1590675</xdr:colOff>
      <xdr:row>80</xdr:row>
      <xdr:rowOff>66675</xdr:rowOff>
    </xdr:to>
    <xdr:graphicFrame macro="">
      <xdr:nvGraphicFramePr>
        <xdr:cNvPr id="8" name="Chart 7"/>
        <xdr:cNvGraphicFramePr/>
      </xdr:nvGraphicFramePr>
      <xdr:xfrm>
        <a:off x="190500" y="9448800"/>
        <a:ext cx="12192000" cy="623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AG1529"/>
  <sheetViews>
    <sheetView tabSelected="1" zoomScale="80" zoomScaleNormal="80" workbookViewId="0" topLeftCell="A1">
      <selection activeCell="C2" sqref="C2"/>
    </sheetView>
  </sheetViews>
  <sheetFormatPr defaultColWidth="9.140625" defaultRowHeight="15"/>
  <cols>
    <col min="1" max="1" width="7.57421875" style="0" customWidth="1"/>
    <col min="2" max="2" width="15.28125" style="0" customWidth="1"/>
    <col min="3" max="3" width="10.28125" style="0" customWidth="1"/>
    <col min="4" max="4" width="8.00390625" style="0" customWidth="1"/>
    <col min="5" max="5" width="11.28125" style="0" customWidth="1"/>
    <col min="6" max="6" width="16.00390625" style="0" customWidth="1"/>
    <col min="7" max="7" width="8.28125" style="0" customWidth="1"/>
    <col min="8" max="8" width="10.7109375" style="0" customWidth="1"/>
    <col min="9" max="9" width="9.7109375" style="0" customWidth="1"/>
    <col min="10" max="10" width="9.421875" style="0" customWidth="1"/>
    <col min="11" max="11" width="49.57421875" style="0" customWidth="1"/>
    <col min="12" max="12" width="9.7109375" style="0" customWidth="1"/>
    <col min="13" max="13" width="7.28125" style="0" customWidth="1"/>
    <col min="14" max="14" width="8.28125" style="0" customWidth="1"/>
    <col min="15" max="15" width="9.57421875" style="0" customWidth="1"/>
    <col min="16" max="16" width="7.00390625" style="101" customWidth="1"/>
    <col min="17" max="17" width="7.7109375" style="1" customWidth="1"/>
    <col min="20" max="20" width="9.28125" style="66" customWidth="1"/>
    <col min="22" max="22" width="13.140625" style="0" customWidth="1"/>
    <col min="23" max="23" width="11.7109375" style="0" customWidth="1"/>
  </cols>
  <sheetData>
    <row r="1" spans="1:20" s="114" customFormat="1" ht="30.75" customHeight="1">
      <c r="A1" s="108" t="s">
        <v>57</v>
      </c>
      <c r="B1" s="384" t="s">
        <v>98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92"/>
      <c r="P1" s="92"/>
      <c r="Q1" s="104"/>
      <c r="R1" s="104"/>
      <c r="S1" s="107"/>
      <c r="T1" s="109"/>
    </row>
    <row r="2" spans="1:22" s="114" customFormat="1" ht="1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3" t="s">
        <v>5</v>
      </c>
      <c r="G2" s="7" t="s">
        <v>2</v>
      </c>
      <c r="H2" s="6" t="s">
        <v>6</v>
      </c>
      <c r="I2" s="6" t="s">
        <v>7</v>
      </c>
      <c r="J2" s="8" t="s">
        <v>8</v>
      </c>
      <c r="K2" s="9" t="s">
        <v>9</v>
      </c>
      <c r="L2" s="10" t="s">
        <v>10</v>
      </c>
      <c r="M2" s="11" t="s">
        <v>11</v>
      </c>
      <c r="N2" s="103" t="s">
        <v>53</v>
      </c>
      <c r="O2" s="105" t="s">
        <v>110</v>
      </c>
      <c r="P2" s="106" t="s">
        <v>0</v>
      </c>
      <c r="Q2" s="117" t="s">
        <v>13</v>
      </c>
      <c r="R2" s="117" t="s">
        <v>70</v>
      </c>
      <c r="S2" s="111" t="s">
        <v>103</v>
      </c>
      <c r="T2" s="116" t="s">
        <v>107</v>
      </c>
      <c r="V2" s="9" t="s">
        <v>72</v>
      </c>
    </row>
    <row r="3" spans="1:22" s="114" customFormat="1" ht="15">
      <c r="A3" s="85" t="s">
        <v>40</v>
      </c>
      <c r="B3" s="65">
        <v>42009.302083333336</v>
      </c>
      <c r="C3" s="14">
        <v>192</v>
      </c>
      <c r="D3" s="15">
        <v>75</v>
      </c>
      <c r="E3" s="15">
        <f aca="true" t="shared" si="0" ref="E3:E4">C3*D3+11</f>
        <v>14411</v>
      </c>
      <c r="F3" s="65"/>
      <c r="G3" s="14">
        <v>194.8</v>
      </c>
      <c r="H3" s="15">
        <f aca="true" t="shared" si="1" ref="H3:H4">G3*D3</f>
        <v>14610</v>
      </c>
      <c r="I3" s="16">
        <f aca="true" t="shared" si="2" ref="I3:I4">H3-E3</f>
        <v>199</v>
      </c>
      <c r="J3" s="19">
        <f aca="true" t="shared" si="3" ref="J3:J4">I3/E3</f>
        <v>0.013808895982235793</v>
      </c>
      <c r="K3" s="95" t="s">
        <v>84</v>
      </c>
      <c r="L3" s="97"/>
      <c r="M3" s="20">
        <f aca="true" t="shared" si="4" ref="M3:M4">C3*0.93</f>
        <v>178.56</v>
      </c>
      <c r="N3" s="118">
        <v>246.71</v>
      </c>
      <c r="O3" s="121">
        <f>WORKDAY(B7,40,V$3:V$13)</f>
        <v>42072</v>
      </c>
      <c r="P3" s="116" t="s">
        <v>40</v>
      </c>
      <c r="Q3" s="117"/>
      <c r="R3" s="118"/>
      <c r="S3" s="117">
        <f>1.11*C3</f>
        <v>213.12</v>
      </c>
      <c r="T3" s="116"/>
      <c r="V3" s="131">
        <v>42005</v>
      </c>
    </row>
    <row r="4" spans="1:22" s="114" customFormat="1" ht="15">
      <c r="A4" s="85" t="s">
        <v>40</v>
      </c>
      <c r="B4" s="65">
        <v>42011.45138888889</v>
      </c>
      <c r="C4" s="14">
        <v>197</v>
      </c>
      <c r="D4" s="15">
        <v>45</v>
      </c>
      <c r="E4" s="15">
        <f t="shared" si="0"/>
        <v>8876</v>
      </c>
      <c r="F4" s="65"/>
      <c r="G4" s="14">
        <v>194.8</v>
      </c>
      <c r="H4" s="15">
        <f t="shared" si="1"/>
        <v>8766</v>
      </c>
      <c r="I4" s="16">
        <f t="shared" si="2"/>
        <v>-110</v>
      </c>
      <c r="J4" s="19">
        <f t="shared" si="3"/>
        <v>-0.012392969806219017</v>
      </c>
      <c r="K4" s="95" t="s">
        <v>85</v>
      </c>
      <c r="L4" s="97"/>
      <c r="M4" s="20">
        <f t="shared" si="4"/>
        <v>183.21</v>
      </c>
      <c r="N4" s="118">
        <v>246.71</v>
      </c>
      <c r="O4" s="116"/>
      <c r="P4" s="116" t="s">
        <v>40</v>
      </c>
      <c r="Q4" s="117"/>
      <c r="R4" s="118"/>
      <c r="S4" s="117"/>
      <c r="T4" s="116"/>
      <c r="V4" s="131">
        <v>42023</v>
      </c>
    </row>
    <row r="5" spans="1:22" s="114" customFormat="1" ht="15">
      <c r="A5" s="85" t="s">
        <v>92</v>
      </c>
      <c r="B5" s="65">
        <v>42010.447916666664</v>
      </c>
      <c r="C5" s="14">
        <v>111.9</v>
      </c>
      <c r="D5" s="15">
        <v>130</v>
      </c>
      <c r="E5" s="15">
        <f aca="true" t="shared" si="5" ref="E5:E7">C5*D5+11</f>
        <v>14558</v>
      </c>
      <c r="F5" s="65"/>
      <c r="G5" s="14">
        <v>117.04</v>
      </c>
      <c r="H5" s="15">
        <f aca="true" t="shared" si="6" ref="H5">G5*D5</f>
        <v>15215.2</v>
      </c>
      <c r="I5" s="16">
        <f aca="true" t="shared" si="7" ref="I5">H5-E5</f>
        <v>657.2000000000007</v>
      </c>
      <c r="J5" s="19">
        <f aca="true" t="shared" si="8" ref="J5">I5/E5</f>
        <v>0.04514356367632922</v>
      </c>
      <c r="K5" s="95" t="s">
        <v>93</v>
      </c>
      <c r="L5" s="97"/>
      <c r="M5" s="20">
        <f aca="true" t="shared" si="9" ref="M5:M7">C5*0.93</f>
        <v>104.06700000000001</v>
      </c>
      <c r="N5" s="118">
        <v>141.88</v>
      </c>
      <c r="O5" s="121">
        <f>WORKDAY(B6,40,V$3:V$13)</f>
        <v>42069</v>
      </c>
      <c r="P5" s="116" t="s">
        <v>92</v>
      </c>
      <c r="Q5" s="117"/>
      <c r="R5" s="118"/>
      <c r="S5" s="117">
        <f>1.11*C5</f>
        <v>124.20900000000002</v>
      </c>
      <c r="T5" s="116"/>
      <c r="V5" s="131">
        <v>42005</v>
      </c>
    </row>
    <row r="6" spans="1:22" s="114" customFormat="1" ht="15">
      <c r="A6" s="85" t="s">
        <v>92</v>
      </c>
      <c r="B6" s="65">
        <v>42011.34305555555</v>
      </c>
      <c r="C6" s="14">
        <v>114.4</v>
      </c>
      <c r="D6" s="15">
        <v>75</v>
      </c>
      <c r="E6" s="15">
        <f t="shared" si="5"/>
        <v>8591</v>
      </c>
      <c r="F6" s="65"/>
      <c r="G6" s="14">
        <v>117.04</v>
      </c>
      <c r="H6" s="15">
        <f aca="true" t="shared" si="10" ref="H6:H7">G6*D6</f>
        <v>8778</v>
      </c>
      <c r="I6" s="16">
        <f aca="true" t="shared" si="11" ref="I6:I7">H6-E6</f>
        <v>187</v>
      </c>
      <c r="J6" s="19">
        <f>I6/E6</f>
        <v>0.02176696542893726</v>
      </c>
      <c r="K6" s="95" t="s">
        <v>94</v>
      </c>
      <c r="L6" s="97"/>
      <c r="M6" s="20">
        <f t="shared" si="9"/>
        <v>106.39200000000001</v>
      </c>
      <c r="N6" s="118">
        <v>141.88</v>
      </c>
      <c r="O6" s="116"/>
      <c r="P6" s="116" t="s">
        <v>92</v>
      </c>
      <c r="Q6" s="117"/>
      <c r="R6" s="118"/>
      <c r="S6" s="117"/>
      <c r="T6" s="116"/>
      <c r="V6" s="131">
        <v>42023</v>
      </c>
    </row>
    <row r="7" spans="1:22" s="114" customFormat="1" ht="15">
      <c r="A7" s="85" t="s">
        <v>92</v>
      </c>
      <c r="B7" s="65">
        <v>42012.39513888889</v>
      </c>
      <c r="C7" s="14">
        <v>117.75</v>
      </c>
      <c r="D7" s="15">
        <v>50</v>
      </c>
      <c r="E7" s="15">
        <f t="shared" si="5"/>
        <v>5898.5</v>
      </c>
      <c r="F7" s="65"/>
      <c r="G7" s="14">
        <v>117.04</v>
      </c>
      <c r="H7" s="15">
        <f t="shared" si="10"/>
        <v>5852</v>
      </c>
      <c r="I7" s="16">
        <f t="shared" si="11"/>
        <v>-46.5</v>
      </c>
      <c r="J7" s="19"/>
      <c r="K7" s="95" t="s">
        <v>95</v>
      </c>
      <c r="L7" s="97"/>
      <c r="M7" s="20">
        <f t="shared" si="9"/>
        <v>109.50750000000001</v>
      </c>
      <c r="N7" s="118">
        <v>141.88</v>
      </c>
      <c r="O7" s="116"/>
      <c r="P7" s="116" t="s">
        <v>92</v>
      </c>
      <c r="Q7" s="117"/>
      <c r="R7" s="118"/>
      <c r="S7" s="117"/>
      <c r="T7" s="116"/>
      <c r="V7" s="131">
        <v>42051</v>
      </c>
    </row>
    <row r="8" spans="1:22" s="114" customFormat="1" ht="15">
      <c r="A8" s="85" t="s">
        <v>64</v>
      </c>
      <c r="B8" s="65">
        <v>42011.27291666667</v>
      </c>
      <c r="C8" s="14">
        <v>70.75</v>
      </c>
      <c r="D8" s="15">
        <v>200</v>
      </c>
      <c r="E8" s="15">
        <f aca="true" t="shared" si="12" ref="E8:E21">C8*D8+11</f>
        <v>14161</v>
      </c>
      <c r="F8" s="13"/>
      <c r="G8" s="14">
        <v>74.08</v>
      </c>
      <c r="H8" s="15">
        <f aca="true" t="shared" si="13" ref="H8:H21">G8*D8</f>
        <v>14816</v>
      </c>
      <c r="I8" s="16">
        <f aca="true" t="shared" si="14" ref="I8:I21">H8-E8</f>
        <v>655</v>
      </c>
      <c r="J8" s="19">
        <f aca="true" t="shared" si="15" ref="J8:J21">I8/E8</f>
        <v>0.04625379563590142</v>
      </c>
      <c r="K8" s="95" t="s">
        <v>74</v>
      </c>
      <c r="L8" s="97"/>
      <c r="M8" s="20">
        <f aca="true" t="shared" si="16" ref="M8:M21">C8*0.93</f>
        <v>65.7975</v>
      </c>
      <c r="N8" s="118">
        <v>93.71</v>
      </c>
      <c r="O8" s="123">
        <f>WORKDAY(B8,40,V$3:V$13)</f>
        <v>42069</v>
      </c>
      <c r="P8" s="116" t="s">
        <v>79</v>
      </c>
      <c r="Q8" s="117"/>
      <c r="R8" s="118"/>
      <c r="S8" s="117">
        <f>1.11*C8</f>
        <v>78.53250000000001</v>
      </c>
      <c r="T8" s="116"/>
      <c r="V8" s="131">
        <v>42097</v>
      </c>
    </row>
    <row r="9" spans="1:22" s="114" customFormat="1" ht="15">
      <c r="A9" s="85" t="s">
        <v>64</v>
      </c>
      <c r="B9" s="65">
        <v>42012.27847222222</v>
      </c>
      <c r="C9" s="14">
        <v>72.34</v>
      </c>
      <c r="D9" s="15">
        <v>120</v>
      </c>
      <c r="E9" s="15">
        <f t="shared" si="12"/>
        <v>8691.800000000001</v>
      </c>
      <c r="F9" s="13"/>
      <c r="G9" s="14">
        <v>74.08</v>
      </c>
      <c r="H9" s="15">
        <f t="shared" si="13"/>
        <v>8889.6</v>
      </c>
      <c r="I9" s="16">
        <f t="shared" si="14"/>
        <v>197.79999999999927</v>
      </c>
      <c r="J9" s="19">
        <f t="shared" si="15"/>
        <v>0.02275708138705438</v>
      </c>
      <c r="K9" s="95" t="s">
        <v>75</v>
      </c>
      <c r="L9" s="97"/>
      <c r="M9" s="20">
        <f t="shared" si="16"/>
        <v>67.2762</v>
      </c>
      <c r="N9" s="118">
        <v>93.71</v>
      </c>
      <c r="O9" s="116"/>
      <c r="P9" s="116" t="s">
        <v>79</v>
      </c>
      <c r="Q9" s="117"/>
      <c r="R9" s="118"/>
      <c r="S9" s="117"/>
      <c r="T9" s="116"/>
      <c r="V9" s="131">
        <v>42149</v>
      </c>
    </row>
    <row r="10" spans="1:22" s="114" customFormat="1" ht="15">
      <c r="A10" s="85" t="s">
        <v>39</v>
      </c>
      <c r="B10" s="65">
        <v>42011.27777777778</v>
      </c>
      <c r="C10" s="14">
        <v>55</v>
      </c>
      <c r="D10" s="15">
        <v>260</v>
      </c>
      <c r="E10" s="15">
        <f t="shared" si="12"/>
        <v>14311</v>
      </c>
      <c r="F10" s="13"/>
      <c r="G10" s="14">
        <v>61.83</v>
      </c>
      <c r="H10" s="15">
        <f t="shared" si="13"/>
        <v>16075.8</v>
      </c>
      <c r="I10" s="16">
        <f t="shared" si="14"/>
        <v>1764.7999999999993</v>
      </c>
      <c r="J10" s="19">
        <f t="shared" si="15"/>
        <v>0.12331772762210881</v>
      </c>
      <c r="K10" s="95" t="s">
        <v>76</v>
      </c>
      <c r="L10" s="97">
        <v>53.71</v>
      </c>
      <c r="M10" s="41">
        <f t="shared" si="16"/>
        <v>51.150000000000006</v>
      </c>
      <c r="N10" s="118">
        <v>72.5</v>
      </c>
      <c r="O10" s="125">
        <f>WORKDAY(B10,40,V$3:V$13)</f>
        <v>42069</v>
      </c>
      <c r="P10" s="116" t="s">
        <v>39</v>
      </c>
      <c r="Q10" s="117">
        <v>62.82</v>
      </c>
      <c r="R10" s="118">
        <f>Q10*0.855</f>
        <v>53.7111</v>
      </c>
      <c r="S10" s="117">
        <f>1.11*C10</f>
        <v>61.050000000000004</v>
      </c>
      <c r="T10" s="116"/>
      <c r="V10" s="131">
        <v>42188</v>
      </c>
    </row>
    <row r="11" spans="1:22" s="114" customFormat="1" ht="15">
      <c r="A11" s="85" t="s">
        <v>39</v>
      </c>
      <c r="B11" s="65">
        <v>42011.48333333333</v>
      </c>
      <c r="C11" s="14">
        <v>56.8</v>
      </c>
      <c r="D11" s="15">
        <v>150</v>
      </c>
      <c r="E11" s="15">
        <f t="shared" si="12"/>
        <v>8531</v>
      </c>
      <c r="F11" s="13"/>
      <c r="G11" s="14">
        <v>61.83</v>
      </c>
      <c r="H11" s="15">
        <f t="shared" si="13"/>
        <v>9274.5</v>
      </c>
      <c r="I11" s="16">
        <f t="shared" si="14"/>
        <v>743.5</v>
      </c>
      <c r="J11" s="19">
        <f t="shared" si="15"/>
        <v>0.08715273707654436</v>
      </c>
      <c r="K11" s="95" t="s">
        <v>77</v>
      </c>
      <c r="L11" s="97">
        <v>53.71</v>
      </c>
      <c r="M11" s="41">
        <f t="shared" si="16"/>
        <v>52.824</v>
      </c>
      <c r="N11" s="118">
        <v>72.5</v>
      </c>
      <c r="O11" s="116"/>
      <c r="P11" s="116" t="s">
        <v>39</v>
      </c>
      <c r="Q11" s="117"/>
      <c r="R11" s="118"/>
      <c r="S11" s="117"/>
      <c r="T11" s="116"/>
      <c r="V11" s="131">
        <v>42254</v>
      </c>
    </row>
    <row r="12" spans="1:22" s="114" customFormat="1" ht="15">
      <c r="A12" s="85" t="s">
        <v>39</v>
      </c>
      <c r="B12" s="65">
        <v>42011.4875</v>
      </c>
      <c r="C12" s="14">
        <v>57.68</v>
      </c>
      <c r="D12" s="15">
        <v>100</v>
      </c>
      <c r="E12" s="15">
        <f t="shared" si="12"/>
        <v>5779</v>
      </c>
      <c r="F12" s="13"/>
      <c r="G12" s="14">
        <v>61.83</v>
      </c>
      <c r="H12" s="15">
        <f t="shared" si="13"/>
        <v>6183</v>
      </c>
      <c r="I12" s="16">
        <f t="shared" si="14"/>
        <v>404</v>
      </c>
      <c r="J12" s="19">
        <f t="shared" si="15"/>
        <v>0.06990828863125108</v>
      </c>
      <c r="K12" s="95" t="s">
        <v>78</v>
      </c>
      <c r="L12" s="97">
        <v>53.71</v>
      </c>
      <c r="M12" s="41">
        <f t="shared" si="16"/>
        <v>53.6424</v>
      </c>
      <c r="N12" s="118">
        <v>72.5</v>
      </c>
      <c r="O12" s="116"/>
      <c r="P12" s="116" t="s">
        <v>39</v>
      </c>
      <c r="Q12" s="117"/>
      <c r="R12" s="118"/>
      <c r="S12" s="117"/>
      <c r="T12" s="116"/>
      <c r="V12" s="131">
        <v>42334</v>
      </c>
    </row>
    <row r="13" spans="1:22" s="114" customFormat="1" ht="15">
      <c r="A13" s="85" t="s">
        <v>80</v>
      </c>
      <c r="B13" s="65">
        <v>42011.30486111111</v>
      </c>
      <c r="C13" s="14">
        <v>58.02</v>
      </c>
      <c r="D13" s="15">
        <v>250</v>
      </c>
      <c r="E13" s="15">
        <f t="shared" si="12"/>
        <v>14516</v>
      </c>
      <c r="F13" s="13"/>
      <c r="G13" s="14">
        <v>59.34</v>
      </c>
      <c r="H13" s="15">
        <f t="shared" si="13"/>
        <v>14835</v>
      </c>
      <c r="I13" s="16">
        <f t="shared" si="14"/>
        <v>319</v>
      </c>
      <c r="J13" s="19">
        <f t="shared" si="15"/>
        <v>0.021975750895563514</v>
      </c>
      <c r="K13" s="95" t="s">
        <v>81</v>
      </c>
      <c r="L13" s="97"/>
      <c r="M13" s="20">
        <f t="shared" si="16"/>
        <v>53.958600000000004</v>
      </c>
      <c r="N13" s="118">
        <v>76.6</v>
      </c>
      <c r="O13" s="124"/>
      <c r="P13" s="116" t="s">
        <v>80</v>
      </c>
      <c r="Q13" s="117"/>
      <c r="R13" s="118"/>
      <c r="S13" s="117">
        <f>1.11*C13</f>
        <v>64.40220000000001</v>
      </c>
      <c r="T13" s="116"/>
      <c r="V13" s="131">
        <v>42363</v>
      </c>
    </row>
    <row r="14" spans="1:22" s="114" customFormat="1" ht="15">
      <c r="A14" s="85" t="s">
        <v>80</v>
      </c>
      <c r="B14" s="65">
        <v>42011.40694444445</v>
      </c>
      <c r="C14" s="14">
        <v>59.16</v>
      </c>
      <c r="D14" s="15">
        <v>150</v>
      </c>
      <c r="E14" s="15">
        <f t="shared" si="12"/>
        <v>8885</v>
      </c>
      <c r="F14" s="13"/>
      <c r="G14" s="14">
        <v>59.34</v>
      </c>
      <c r="H14" s="15">
        <f t="shared" si="13"/>
        <v>8901</v>
      </c>
      <c r="I14" s="16">
        <f t="shared" si="14"/>
        <v>16</v>
      </c>
      <c r="J14" s="122">
        <f t="shared" si="15"/>
        <v>0.0018007878446820484</v>
      </c>
      <c r="K14" s="95" t="s">
        <v>82</v>
      </c>
      <c r="L14" s="119"/>
      <c r="M14" s="20">
        <f t="shared" si="16"/>
        <v>55.0188</v>
      </c>
      <c r="N14" s="118">
        <v>77.93</v>
      </c>
      <c r="O14" s="116"/>
      <c r="P14" s="116" t="s">
        <v>80</v>
      </c>
      <c r="Q14" s="117"/>
      <c r="R14" s="118"/>
      <c r="S14" s="117"/>
      <c r="T14" s="116"/>
      <c r="V14" s="120"/>
    </row>
    <row r="15" spans="1:22" s="114" customFormat="1" ht="15">
      <c r="A15" s="85" t="s">
        <v>80</v>
      </c>
      <c r="B15" s="65">
        <v>42012.29305555556</v>
      </c>
      <c r="C15" s="14">
        <v>60.3</v>
      </c>
      <c r="D15" s="15">
        <v>100</v>
      </c>
      <c r="E15" s="15">
        <f t="shared" si="12"/>
        <v>6041</v>
      </c>
      <c r="F15" s="13"/>
      <c r="G15" s="14">
        <v>59.34</v>
      </c>
      <c r="H15" s="15">
        <f t="shared" si="13"/>
        <v>5934</v>
      </c>
      <c r="I15" s="16">
        <f t="shared" si="14"/>
        <v>-107</v>
      </c>
      <c r="J15" s="19">
        <f t="shared" si="15"/>
        <v>-0.017712299288197317</v>
      </c>
      <c r="K15" s="95" t="s">
        <v>83</v>
      </c>
      <c r="L15" s="119"/>
      <c r="M15" s="20">
        <f t="shared" si="16"/>
        <v>56.079</v>
      </c>
      <c r="N15" s="118">
        <v>77.93</v>
      </c>
      <c r="O15" s="116"/>
      <c r="P15" s="116" t="s">
        <v>80</v>
      </c>
      <c r="Q15" s="117"/>
      <c r="R15" s="118"/>
      <c r="S15" s="117"/>
      <c r="T15" s="116"/>
      <c r="V15" s="120"/>
    </row>
    <row r="16" spans="1:20" s="114" customFormat="1" ht="15">
      <c r="A16" s="85" t="s">
        <v>50</v>
      </c>
      <c r="B16" s="65">
        <v>42011.50555555556</v>
      </c>
      <c r="C16" s="14">
        <v>691</v>
      </c>
      <c r="D16" s="15">
        <v>20</v>
      </c>
      <c r="E16" s="15">
        <f t="shared" si="12"/>
        <v>13831</v>
      </c>
      <c r="F16" s="13"/>
      <c r="G16" s="14">
        <v>714.27</v>
      </c>
      <c r="H16" s="15">
        <f t="shared" si="13"/>
        <v>14285.4</v>
      </c>
      <c r="I16" s="16">
        <f t="shared" si="14"/>
        <v>454.39999999999964</v>
      </c>
      <c r="J16" s="19">
        <f t="shared" si="15"/>
        <v>0.0328537343648326</v>
      </c>
      <c r="K16" s="95" t="s">
        <v>89</v>
      </c>
      <c r="L16" s="119"/>
      <c r="M16" s="20">
        <f t="shared" si="16"/>
        <v>642.63</v>
      </c>
      <c r="N16" s="118">
        <v>873</v>
      </c>
      <c r="O16" s="121">
        <f>WORKDAY(B17,40,V$3:V$13)</f>
        <v>42072</v>
      </c>
      <c r="P16" s="116" t="s">
        <v>50</v>
      </c>
      <c r="Q16" s="117"/>
      <c r="R16" s="118"/>
      <c r="S16" s="117">
        <f>1.11*C16</f>
        <v>767.0100000000001</v>
      </c>
      <c r="T16" s="116"/>
    </row>
    <row r="17" spans="1:20" s="114" customFormat="1" ht="15">
      <c r="A17" s="85" t="s">
        <v>50</v>
      </c>
      <c r="B17" s="65">
        <v>42012.27291666667</v>
      </c>
      <c r="C17" s="14">
        <v>707.47</v>
      </c>
      <c r="D17" s="15">
        <v>12</v>
      </c>
      <c r="E17" s="15">
        <f t="shared" si="12"/>
        <v>8500.64</v>
      </c>
      <c r="F17" s="13"/>
      <c r="G17" s="14">
        <v>714.27</v>
      </c>
      <c r="H17" s="15">
        <f t="shared" si="13"/>
        <v>8571.24</v>
      </c>
      <c r="I17" s="16">
        <f t="shared" si="14"/>
        <v>70.60000000000036</v>
      </c>
      <c r="J17" s="19">
        <f t="shared" si="15"/>
        <v>0.008305257015942372</v>
      </c>
      <c r="K17" s="95" t="s">
        <v>90</v>
      </c>
      <c r="L17" s="119"/>
      <c r="M17" s="20">
        <f t="shared" si="16"/>
        <v>657.9471000000001</v>
      </c>
      <c r="N17" s="118">
        <v>873</v>
      </c>
      <c r="O17" s="116"/>
      <c r="P17" s="116" t="s">
        <v>50</v>
      </c>
      <c r="Q17" s="117"/>
      <c r="R17" s="118"/>
      <c r="S17" s="117"/>
      <c r="T17" s="116"/>
    </row>
    <row r="18" spans="1:20" s="114" customFormat="1" ht="15">
      <c r="A18" s="85" t="s">
        <v>50</v>
      </c>
      <c r="B18" s="65">
        <v>42012.28472222222</v>
      </c>
      <c r="C18" s="14">
        <v>722.5</v>
      </c>
      <c r="D18" s="15">
        <v>8</v>
      </c>
      <c r="E18" s="15">
        <f t="shared" si="12"/>
        <v>5791</v>
      </c>
      <c r="F18" s="13"/>
      <c r="G18" s="14">
        <v>714.27</v>
      </c>
      <c r="H18" s="15">
        <f t="shared" si="13"/>
        <v>5714.16</v>
      </c>
      <c r="I18" s="16">
        <f t="shared" si="14"/>
        <v>-76.84000000000015</v>
      </c>
      <c r="J18" s="19">
        <f t="shared" si="15"/>
        <v>-0.013268865480918692</v>
      </c>
      <c r="K18" s="95" t="s">
        <v>91</v>
      </c>
      <c r="L18" s="119"/>
      <c r="M18" s="20">
        <f t="shared" si="16"/>
        <v>671.9250000000001</v>
      </c>
      <c r="N18" s="118">
        <v>873</v>
      </c>
      <c r="O18" s="116"/>
      <c r="P18" s="116" t="s">
        <v>50</v>
      </c>
      <c r="Q18" s="117"/>
      <c r="R18" s="118"/>
      <c r="S18" s="117"/>
      <c r="T18" s="116"/>
    </row>
    <row r="19" spans="1:20" s="114" customFormat="1" ht="15">
      <c r="A19" s="85" t="s">
        <v>60</v>
      </c>
      <c r="B19" s="65">
        <v>42012.27569444444</v>
      </c>
      <c r="C19" s="14">
        <v>75.9</v>
      </c>
      <c r="D19" s="15">
        <v>190</v>
      </c>
      <c r="E19" s="15">
        <f t="shared" si="12"/>
        <v>14432.000000000002</v>
      </c>
      <c r="F19" s="13"/>
      <c r="G19" s="14">
        <v>80.32</v>
      </c>
      <c r="H19" s="15">
        <f t="shared" si="13"/>
        <v>15260.8</v>
      </c>
      <c r="I19" s="16">
        <f t="shared" si="14"/>
        <v>828.7999999999975</v>
      </c>
      <c r="J19" s="19">
        <f t="shared" si="15"/>
        <v>0.05742793791574261</v>
      </c>
      <c r="K19" s="95" t="s">
        <v>86</v>
      </c>
      <c r="L19" s="119"/>
      <c r="M19" s="20">
        <f t="shared" si="16"/>
        <v>70.587</v>
      </c>
      <c r="N19" s="118">
        <v>97.93</v>
      </c>
      <c r="O19" s="121">
        <f>WORKDAY(B21,40,V$3:V$13)</f>
        <v>42073</v>
      </c>
      <c r="P19" s="116" t="s">
        <v>60</v>
      </c>
      <c r="Q19" s="117"/>
      <c r="R19" s="118"/>
      <c r="S19" s="117">
        <f>1.11*C19</f>
        <v>84.24900000000001</v>
      </c>
      <c r="T19" s="116"/>
    </row>
    <row r="20" spans="1:20" s="114" customFormat="1" ht="15">
      <c r="A20" s="85" t="s">
        <v>60</v>
      </c>
      <c r="B20" s="65">
        <v>42012.520833333336</v>
      </c>
      <c r="C20" s="14">
        <v>78</v>
      </c>
      <c r="D20" s="15">
        <v>110</v>
      </c>
      <c r="E20" s="15">
        <f t="shared" si="12"/>
        <v>8591</v>
      </c>
      <c r="F20" s="13"/>
      <c r="G20" s="14">
        <v>80.32</v>
      </c>
      <c r="H20" s="15">
        <f t="shared" si="13"/>
        <v>8835.199999999999</v>
      </c>
      <c r="I20" s="16">
        <f t="shared" si="14"/>
        <v>244.1999999999989</v>
      </c>
      <c r="J20" s="19">
        <f t="shared" si="15"/>
        <v>0.028425096030729707</v>
      </c>
      <c r="K20" s="95" t="s">
        <v>113</v>
      </c>
      <c r="L20" s="119"/>
      <c r="M20" s="20">
        <f t="shared" si="16"/>
        <v>72.54</v>
      </c>
      <c r="N20" s="118">
        <v>97.93</v>
      </c>
      <c r="P20" s="116" t="s">
        <v>60</v>
      </c>
      <c r="Q20" s="117"/>
      <c r="R20" s="118"/>
      <c r="S20" s="117"/>
      <c r="T20" s="116"/>
    </row>
    <row r="21" spans="1:20" s="114" customFormat="1" ht="15">
      <c r="A21" s="85" t="s">
        <v>60</v>
      </c>
      <c r="B21" s="65">
        <v>42013.274305555555</v>
      </c>
      <c r="C21" s="14">
        <v>79.2</v>
      </c>
      <c r="D21" s="15">
        <v>70</v>
      </c>
      <c r="E21" s="15">
        <f t="shared" si="12"/>
        <v>5555</v>
      </c>
      <c r="F21" s="13"/>
      <c r="G21" s="14">
        <v>80.32</v>
      </c>
      <c r="H21" s="15">
        <f t="shared" si="13"/>
        <v>5622.4</v>
      </c>
      <c r="I21" s="16">
        <f t="shared" si="14"/>
        <v>67.39999999999964</v>
      </c>
      <c r="J21" s="19">
        <f t="shared" si="15"/>
        <v>0.012133213321332067</v>
      </c>
      <c r="K21" s="95" t="s">
        <v>88</v>
      </c>
      <c r="L21" s="119"/>
      <c r="M21" s="20">
        <f t="shared" si="16"/>
        <v>73.656</v>
      </c>
      <c r="N21" s="118">
        <v>97.93</v>
      </c>
      <c r="O21" s="116"/>
      <c r="P21" s="116" t="s">
        <v>60</v>
      </c>
      <c r="Q21" s="117"/>
      <c r="R21" s="118"/>
      <c r="S21" s="117"/>
      <c r="T21" s="116"/>
    </row>
    <row r="22" spans="1:20" s="114" customFormat="1" ht="15">
      <c r="A22" s="12"/>
      <c r="B22" s="13"/>
      <c r="C22" s="14"/>
      <c r="D22" s="15"/>
      <c r="E22" s="15"/>
      <c r="F22" s="13"/>
      <c r="G22" s="14"/>
      <c r="H22" s="15"/>
      <c r="I22" s="16"/>
      <c r="J22" s="19"/>
      <c r="K22" s="95"/>
      <c r="L22" s="119"/>
      <c r="M22" s="32"/>
      <c r="N22" s="118"/>
      <c r="Q22" s="117"/>
      <c r="R22" s="117"/>
      <c r="S22" s="117"/>
      <c r="T22" s="116"/>
    </row>
    <row r="23" spans="1:20" s="114" customFormat="1" ht="15">
      <c r="A23" s="21" t="s">
        <v>14</v>
      </c>
      <c r="B23" s="22"/>
      <c r="C23" s="23"/>
      <c r="D23" s="24"/>
      <c r="E23" s="24">
        <f>SUM(E3:E22)</f>
        <v>189950.94</v>
      </c>
      <c r="F23" s="22"/>
      <c r="G23" s="23"/>
      <c r="H23" s="24">
        <f>SUM(H3:H22)</f>
        <v>196419.3</v>
      </c>
      <c r="I23" s="25">
        <f>SUM(I3:I22)</f>
        <v>6468.359999999995</v>
      </c>
      <c r="J23" s="26">
        <f>I23/E23</f>
        <v>0.03405279278954869</v>
      </c>
      <c r="K23" s="27" t="s">
        <v>15</v>
      </c>
      <c r="L23" s="28">
        <f>100000+I25</f>
        <v>106468.36</v>
      </c>
      <c r="M23" s="81"/>
      <c r="N23" s="89"/>
      <c r="Q23" s="117"/>
      <c r="R23" s="117"/>
      <c r="S23" s="117"/>
      <c r="T23" s="116"/>
    </row>
    <row r="24" spans="1:20" s="114" customFormat="1" ht="15">
      <c r="A24" s="12" t="s">
        <v>67</v>
      </c>
      <c r="B24" s="22"/>
      <c r="C24" s="25">
        <f>I25-H25</f>
        <v>6468.359999999995</v>
      </c>
      <c r="D24" s="26">
        <f>C24/100000</f>
        <v>0.06468359999999995</v>
      </c>
      <c r="E24" s="24"/>
      <c r="F24" s="22" t="s">
        <v>16</v>
      </c>
      <c r="G24" s="117"/>
      <c r="H24" s="29" t="str">
        <f>IF(ABS(H23-E23-I23)&lt;1,"","ERROR")</f>
        <v/>
      </c>
      <c r="I24" s="30">
        <v>0</v>
      </c>
      <c r="J24" s="26"/>
      <c r="K24" s="111" t="s">
        <v>17</v>
      </c>
      <c r="L24" s="28">
        <f>(2*(100000+I25))-E23</f>
        <v>22985.78</v>
      </c>
      <c r="M24" s="31"/>
      <c r="Q24" s="117"/>
      <c r="R24" s="117"/>
      <c r="S24" s="117"/>
      <c r="T24" s="116"/>
    </row>
    <row r="25" spans="1:20" s="114" customFormat="1" ht="15">
      <c r="A25" s="12" t="s">
        <v>54</v>
      </c>
      <c r="B25" s="22"/>
      <c r="C25" s="25">
        <f>L23-100000</f>
        <v>6468.360000000001</v>
      </c>
      <c r="D25" s="26">
        <f>C25/100000</f>
        <v>0.06468360000000001</v>
      </c>
      <c r="E25" s="24"/>
      <c r="F25" s="22" t="s">
        <v>18</v>
      </c>
      <c r="G25" s="117"/>
      <c r="H25" s="29"/>
      <c r="I25" s="30">
        <f>I23+I24</f>
        <v>6468.359999999995</v>
      </c>
      <c r="J25" s="26">
        <f>I25/100000</f>
        <v>0.06468359999999995</v>
      </c>
      <c r="K25" s="111" t="s">
        <v>19</v>
      </c>
      <c r="L25" s="26">
        <f>E23/(2*(100000+I25))</f>
        <v>0.892053470157707</v>
      </c>
      <c r="M25" s="31"/>
      <c r="Q25" s="117"/>
      <c r="R25" s="117"/>
      <c r="S25" s="117"/>
      <c r="T25" s="116"/>
    </row>
    <row r="26" spans="1:20" s="114" customFormat="1" ht="15">
      <c r="A26" s="12"/>
      <c r="B26" s="22"/>
      <c r="C26" s="25"/>
      <c r="D26" s="26"/>
      <c r="E26" s="24"/>
      <c r="F26" s="22"/>
      <c r="G26" s="117"/>
      <c r="H26" s="29"/>
      <c r="I26" s="30"/>
      <c r="J26" s="26"/>
      <c r="K26" s="111"/>
      <c r="L26" s="26"/>
      <c r="M26" s="31"/>
      <c r="Q26" s="117"/>
      <c r="R26" s="117"/>
      <c r="S26" s="117"/>
      <c r="T26" s="116"/>
    </row>
    <row r="27" spans="1:20" s="114" customFormat="1" ht="15">
      <c r="A27" s="12"/>
      <c r="B27" s="22"/>
      <c r="C27" s="25"/>
      <c r="D27" s="26"/>
      <c r="E27" s="24"/>
      <c r="F27" s="22"/>
      <c r="G27" s="117"/>
      <c r="H27" s="29"/>
      <c r="I27" s="30"/>
      <c r="J27" s="26"/>
      <c r="K27" s="111"/>
      <c r="L27" s="26"/>
      <c r="M27" s="31"/>
      <c r="Q27" s="117"/>
      <c r="R27" s="117"/>
      <c r="S27" s="117"/>
      <c r="T27" s="116"/>
    </row>
    <row r="28" spans="1:20" s="114" customFormat="1" ht="30.75" customHeight="1">
      <c r="A28" s="130" t="s">
        <v>62</v>
      </c>
      <c r="B28" s="384" t="s">
        <v>114</v>
      </c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92"/>
      <c r="P28" s="92"/>
      <c r="Q28" s="104"/>
      <c r="R28" s="104"/>
      <c r="S28" s="107"/>
      <c r="T28" s="109"/>
    </row>
    <row r="29" spans="1:22" s="114" customFormat="1" ht="15">
      <c r="A29" s="2" t="s">
        <v>0</v>
      </c>
      <c r="B29" s="3" t="s">
        <v>1</v>
      </c>
      <c r="C29" s="4" t="s">
        <v>2</v>
      </c>
      <c r="D29" s="5" t="s">
        <v>3</v>
      </c>
      <c r="E29" s="6" t="s">
        <v>4</v>
      </c>
      <c r="F29" s="3" t="s">
        <v>5</v>
      </c>
      <c r="G29" s="7" t="s">
        <v>2</v>
      </c>
      <c r="H29" s="6" t="s">
        <v>6</v>
      </c>
      <c r="I29" s="6" t="s">
        <v>7</v>
      </c>
      <c r="J29" s="8" t="s">
        <v>8</v>
      </c>
      <c r="K29" s="9" t="s">
        <v>9</v>
      </c>
      <c r="L29" s="10" t="s">
        <v>10</v>
      </c>
      <c r="M29" s="11" t="s">
        <v>11</v>
      </c>
      <c r="N29" s="103" t="s">
        <v>53</v>
      </c>
      <c r="O29" s="105" t="s">
        <v>110</v>
      </c>
      <c r="P29" s="106" t="s">
        <v>0</v>
      </c>
      <c r="Q29" s="117" t="s">
        <v>13</v>
      </c>
      <c r="R29" s="117" t="s">
        <v>70</v>
      </c>
      <c r="S29" s="111" t="s">
        <v>103</v>
      </c>
      <c r="T29" s="116" t="s">
        <v>107</v>
      </c>
      <c r="V29" s="9" t="s">
        <v>72</v>
      </c>
    </row>
    <row r="30" spans="1:22" s="114" customFormat="1" ht="15">
      <c r="A30" s="12" t="s">
        <v>92</v>
      </c>
      <c r="B30" s="65">
        <v>42010.447916666664</v>
      </c>
      <c r="C30" s="14">
        <v>111.9</v>
      </c>
      <c r="D30" s="15">
        <v>130</v>
      </c>
      <c r="E30" s="15">
        <f aca="true" t="shared" si="17" ref="E30:E46">C30*D30+11</f>
        <v>14558</v>
      </c>
      <c r="F30" s="13"/>
      <c r="G30" s="14">
        <v>118.89</v>
      </c>
      <c r="H30" s="15">
        <f aca="true" t="shared" si="18" ref="H30:H46">G30*D30</f>
        <v>15455.7</v>
      </c>
      <c r="I30" s="16">
        <f aca="true" t="shared" si="19" ref="I30:I46">H30-E30</f>
        <v>897.7000000000007</v>
      </c>
      <c r="J30" s="19">
        <f aca="true" t="shared" si="20" ref="J30">I30/E30</f>
        <v>0.06166369006731699</v>
      </c>
      <c r="K30" s="95" t="s">
        <v>93</v>
      </c>
      <c r="L30" s="97"/>
      <c r="M30" s="20">
        <f aca="true" t="shared" si="21" ref="M30:M46">C30*0.93</f>
        <v>104.06700000000001</v>
      </c>
      <c r="N30" s="118">
        <v>141.88</v>
      </c>
      <c r="O30" s="121">
        <f>WORKDAY(B31,40,V$3:V$13)</f>
        <v>42069</v>
      </c>
      <c r="P30" s="116" t="s">
        <v>92</v>
      </c>
      <c r="Q30" s="117"/>
      <c r="R30" s="118"/>
      <c r="S30" s="117">
        <f>1.11*C30</f>
        <v>124.20900000000002</v>
      </c>
      <c r="T30" s="116"/>
      <c r="V30" s="131">
        <v>42005</v>
      </c>
    </row>
    <row r="31" spans="1:22" s="114" customFormat="1" ht="15">
      <c r="A31" s="12" t="s">
        <v>92</v>
      </c>
      <c r="B31" s="65">
        <v>42011.34305555555</v>
      </c>
      <c r="C31" s="14">
        <v>114.4</v>
      </c>
      <c r="D31" s="15">
        <v>75</v>
      </c>
      <c r="E31" s="15">
        <f t="shared" si="17"/>
        <v>8591</v>
      </c>
      <c r="F31" s="13"/>
      <c r="G31" s="14">
        <v>118.89</v>
      </c>
      <c r="H31" s="15">
        <f t="shared" si="18"/>
        <v>8916.75</v>
      </c>
      <c r="I31" s="16">
        <f t="shared" si="19"/>
        <v>325.75</v>
      </c>
      <c r="J31" s="19">
        <f>I31/E31</f>
        <v>0.03791758817367012</v>
      </c>
      <c r="K31" s="95" t="s">
        <v>94</v>
      </c>
      <c r="L31" s="97"/>
      <c r="M31" s="20">
        <f t="shared" si="21"/>
        <v>106.39200000000001</v>
      </c>
      <c r="N31" s="118">
        <v>141.88</v>
      </c>
      <c r="O31" s="116"/>
      <c r="P31" s="116" t="s">
        <v>92</v>
      </c>
      <c r="Q31" s="117"/>
      <c r="R31" s="118"/>
      <c r="S31" s="117"/>
      <c r="T31" s="116"/>
      <c r="V31" s="131">
        <v>42023</v>
      </c>
    </row>
    <row r="32" spans="1:22" s="114" customFormat="1" ht="15">
      <c r="A32" s="12" t="s">
        <v>92</v>
      </c>
      <c r="B32" s="65">
        <v>42012.39513888889</v>
      </c>
      <c r="C32" s="14">
        <v>117.75</v>
      </c>
      <c r="D32" s="15">
        <v>50</v>
      </c>
      <c r="E32" s="15">
        <f t="shared" si="17"/>
        <v>5898.5</v>
      </c>
      <c r="F32" s="13"/>
      <c r="G32" s="14">
        <v>118.89</v>
      </c>
      <c r="H32" s="15">
        <f t="shared" si="18"/>
        <v>5944.5</v>
      </c>
      <c r="I32" s="16">
        <f t="shared" si="19"/>
        <v>46</v>
      </c>
      <c r="J32" s="19"/>
      <c r="K32" s="95" t="s">
        <v>95</v>
      </c>
      <c r="L32" s="97"/>
      <c r="M32" s="20">
        <f t="shared" si="21"/>
        <v>109.50750000000001</v>
      </c>
      <c r="N32" s="118">
        <v>141.88</v>
      </c>
      <c r="O32" s="116"/>
      <c r="P32" s="116" t="s">
        <v>92</v>
      </c>
      <c r="Q32" s="117"/>
      <c r="R32" s="118"/>
      <c r="S32" s="117"/>
      <c r="T32" s="116"/>
      <c r="V32" s="131">
        <v>42005</v>
      </c>
    </row>
    <row r="33" spans="1:22" s="114" customFormat="1" ht="15">
      <c r="A33" s="12" t="s">
        <v>64</v>
      </c>
      <c r="B33" s="65">
        <v>42011.27291666667</v>
      </c>
      <c r="C33" s="14">
        <v>70.75</v>
      </c>
      <c r="D33" s="15">
        <v>200</v>
      </c>
      <c r="E33" s="15">
        <f t="shared" si="17"/>
        <v>14161</v>
      </c>
      <c r="F33" s="13"/>
      <c r="G33" s="14">
        <v>73.85</v>
      </c>
      <c r="H33" s="15">
        <f t="shared" si="18"/>
        <v>14769.999999999998</v>
      </c>
      <c r="I33" s="16">
        <f t="shared" si="19"/>
        <v>608.9999999999982</v>
      </c>
      <c r="J33" s="19">
        <f aca="true" t="shared" si="22" ref="J33:J46">I33/E33</f>
        <v>0.04300543746910516</v>
      </c>
      <c r="K33" s="95" t="s">
        <v>74</v>
      </c>
      <c r="L33" s="97"/>
      <c r="M33" s="20">
        <f t="shared" si="21"/>
        <v>65.7975</v>
      </c>
      <c r="N33" s="118">
        <v>93.71</v>
      </c>
      <c r="O33" s="123">
        <f>WORKDAY(B33,40,V$3:V$13)</f>
        <v>42069</v>
      </c>
      <c r="P33" s="116" t="s">
        <v>79</v>
      </c>
      <c r="Q33" s="117"/>
      <c r="R33" s="118"/>
      <c r="S33" s="117">
        <f>1.11*C33</f>
        <v>78.53250000000001</v>
      </c>
      <c r="T33" s="116"/>
      <c r="V33" s="131">
        <v>42023</v>
      </c>
    </row>
    <row r="34" spans="1:22" s="114" customFormat="1" ht="15">
      <c r="A34" s="12" t="s">
        <v>64</v>
      </c>
      <c r="B34" s="65">
        <v>42012.27847222222</v>
      </c>
      <c r="C34" s="14">
        <v>72.34</v>
      </c>
      <c r="D34" s="15">
        <v>120</v>
      </c>
      <c r="E34" s="15">
        <f t="shared" si="17"/>
        <v>8691.800000000001</v>
      </c>
      <c r="F34" s="13"/>
      <c r="G34" s="14">
        <v>73.85</v>
      </c>
      <c r="H34" s="15">
        <f t="shared" si="18"/>
        <v>8862</v>
      </c>
      <c r="I34" s="16">
        <f t="shared" si="19"/>
        <v>170.1999999999989</v>
      </c>
      <c r="J34" s="19">
        <f t="shared" si="22"/>
        <v>0.019581674681883945</v>
      </c>
      <c r="K34" s="95" t="s">
        <v>102</v>
      </c>
      <c r="L34" s="97"/>
      <c r="M34" s="20">
        <f t="shared" si="21"/>
        <v>67.2762</v>
      </c>
      <c r="N34" s="118">
        <v>93.71</v>
      </c>
      <c r="O34" s="116"/>
      <c r="P34" s="116" t="s">
        <v>79</v>
      </c>
      <c r="Q34" s="117"/>
      <c r="R34" s="118"/>
      <c r="S34" s="117"/>
      <c r="T34" s="116"/>
      <c r="V34" s="131">
        <v>42051</v>
      </c>
    </row>
    <row r="35" spans="1:22" s="114" customFormat="1" ht="15">
      <c r="A35" s="12" t="s">
        <v>80</v>
      </c>
      <c r="B35" s="65">
        <v>42011.30486111111</v>
      </c>
      <c r="C35" s="14">
        <v>58.02</v>
      </c>
      <c r="D35" s="15">
        <v>250</v>
      </c>
      <c r="E35" s="15">
        <f t="shared" si="17"/>
        <v>14516</v>
      </c>
      <c r="F35" s="13"/>
      <c r="G35" s="14">
        <v>57.16</v>
      </c>
      <c r="H35" s="15">
        <f t="shared" si="18"/>
        <v>14290</v>
      </c>
      <c r="I35" s="16">
        <f t="shared" si="19"/>
        <v>-226</v>
      </c>
      <c r="J35" s="19">
        <f t="shared" si="22"/>
        <v>-0.015569027280242492</v>
      </c>
      <c r="K35" s="95" t="s">
        <v>81</v>
      </c>
      <c r="L35" s="97"/>
      <c r="M35" s="20">
        <f t="shared" si="21"/>
        <v>53.958600000000004</v>
      </c>
      <c r="N35" s="118">
        <v>76.6</v>
      </c>
      <c r="O35" s="124"/>
      <c r="P35" s="116" t="s">
        <v>80</v>
      </c>
      <c r="Q35" s="117"/>
      <c r="R35" s="118"/>
      <c r="S35" s="117">
        <f>1.11*C35</f>
        <v>64.40220000000001</v>
      </c>
      <c r="T35" s="116"/>
      <c r="V35" s="131">
        <v>42097</v>
      </c>
    </row>
    <row r="36" spans="1:22" s="114" customFormat="1" ht="15">
      <c r="A36" s="12" t="s">
        <v>80</v>
      </c>
      <c r="B36" s="65">
        <v>42011.40694444445</v>
      </c>
      <c r="C36" s="14">
        <v>59.16</v>
      </c>
      <c r="D36" s="15">
        <v>150</v>
      </c>
      <c r="E36" s="15">
        <f t="shared" si="17"/>
        <v>8885</v>
      </c>
      <c r="F36" s="13"/>
      <c r="G36" s="14">
        <v>57.16</v>
      </c>
      <c r="H36" s="15">
        <f t="shared" si="18"/>
        <v>8574</v>
      </c>
      <c r="I36" s="16">
        <f t="shared" si="19"/>
        <v>-311</v>
      </c>
      <c r="J36" s="122">
        <f t="shared" si="22"/>
        <v>-0.03500281373100732</v>
      </c>
      <c r="K36" s="95" t="s">
        <v>82</v>
      </c>
      <c r="L36" s="119"/>
      <c r="M36" s="20">
        <f t="shared" si="21"/>
        <v>55.0188</v>
      </c>
      <c r="N36" s="118">
        <v>77.93</v>
      </c>
      <c r="O36" s="116"/>
      <c r="P36" s="116" t="s">
        <v>80</v>
      </c>
      <c r="Q36" s="117"/>
      <c r="R36" s="118"/>
      <c r="S36" s="117"/>
      <c r="T36" s="116"/>
      <c r="V36" s="131">
        <v>42149</v>
      </c>
    </row>
    <row r="37" spans="1:22" s="114" customFormat="1" ht="15">
      <c r="A37" s="12" t="s">
        <v>80</v>
      </c>
      <c r="B37" s="65">
        <v>42012.29305555556</v>
      </c>
      <c r="C37" s="14">
        <v>60.3</v>
      </c>
      <c r="D37" s="15">
        <v>100</v>
      </c>
      <c r="E37" s="15">
        <f t="shared" si="17"/>
        <v>6041</v>
      </c>
      <c r="F37" s="13"/>
      <c r="G37" s="14">
        <v>57.16</v>
      </c>
      <c r="H37" s="15">
        <f t="shared" si="18"/>
        <v>5716</v>
      </c>
      <c r="I37" s="16">
        <f t="shared" si="19"/>
        <v>-325</v>
      </c>
      <c r="J37" s="19">
        <f t="shared" si="22"/>
        <v>-0.05379903989405727</v>
      </c>
      <c r="K37" s="95" t="s">
        <v>83</v>
      </c>
      <c r="L37" s="119"/>
      <c r="M37" s="20">
        <f t="shared" si="21"/>
        <v>56.079</v>
      </c>
      <c r="N37" s="118">
        <v>77.93</v>
      </c>
      <c r="O37" s="116"/>
      <c r="P37" s="116" t="s">
        <v>80</v>
      </c>
      <c r="Q37" s="117"/>
      <c r="R37" s="118"/>
      <c r="S37" s="117"/>
      <c r="T37" s="116"/>
      <c r="V37" s="131">
        <v>42188</v>
      </c>
    </row>
    <row r="38" spans="1:22" s="114" customFormat="1" ht="15">
      <c r="A38" s="12" t="s">
        <v>50</v>
      </c>
      <c r="B38" s="65">
        <v>42011.50555555556</v>
      </c>
      <c r="C38" s="14">
        <v>691</v>
      </c>
      <c r="D38" s="15">
        <v>20</v>
      </c>
      <c r="E38" s="15">
        <f t="shared" si="17"/>
        <v>13831</v>
      </c>
      <c r="F38" s="13"/>
      <c r="G38" s="14">
        <v>711.11</v>
      </c>
      <c r="H38" s="15">
        <f t="shared" si="18"/>
        <v>14222.2</v>
      </c>
      <c r="I38" s="16">
        <f t="shared" si="19"/>
        <v>391.2000000000007</v>
      </c>
      <c r="J38" s="19">
        <f t="shared" si="22"/>
        <v>0.028284288916202785</v>
      </c>
      <c r="K38" s="95" t="s">
        <v>89</v>
      </c>
      <c r="L38" s="119"/>
      <c r="M38" s="20">
        <f t="shared" si="21"/>
        <v>642.63</v>
      </c>
      <c r="N38" s="118">
        <v>873</v>
      </c>
      <c r="O38" s="121">
        <f>WORKDAY(B39,40,V$3:V$13)</f>
        <v>42072</v>
      </c>
      <c r="P38" s="116" t="s">
        <v>50</v>
      </c>
      <c r="Q38" s="117"/>
      <c r="R38" s="118"/>
      <c r="S38" s="117">
        <f>1.11*C38</f>
        <v>767.0100000000001</v>
      </c>
      <c r="T38" s="116"/>
      <c r="V38" s="131">
        <v>42254</v>
      </c>
    </row>
    <row r="39" spans="1:22" s="114" customFormat="1" ht="15">
      <c r="A39" s="12" t="s">
        <v>50</v>
      </c>
      <c r="B39" s="65">
        <v>42012.27291666667</v>
      </c>
      <c r="C39" s="14">
        <v>707.47</v>
      </c>
      <c r="D39" s="15">
        <v>12</v>
      </c>
      <c r="E39" s="15">
        <f t="shared" si="17"/>
        <v>8500.64</v>
      </c>
      <c r="F39" s="13"/>
      <c r="G39" s="14">
        <v>711.11</v>
      </c>
      <c r="H39" s="15">
        <f t="shared" si="18"/>
        <v>8533.32</v>
      </c>
      <c r="I39" s="16">
        <f t="shared" si="19"/>
        <v>32.68000000000029</v>
      </c>
      <c r="J39" s="19">
        <f t="shared" si="22"/>
        <v>0.003844416420410733</v>
      </c>
      <c r="K39" s="95" t="s">
        <v>90</v>
      </c>
      <c r="L39" s="119"/>
      <c r="M39" s="20">
        <f t="shared" si="21"/>
        <v>657.9471000000001</v>
      </c>
      <c r="N39" s="118">
        <v>873</v>
      </c>
      <c r="O39" s="116"/>
      <c r="P39" s="116" t="s">
        <v>50</v>
      </c>
      <c r="Q39" s="117"/>
      <c r="R39" s="118"/>
      <c r="S39" s="117"/>
      <c r="T39" s="116"/>
      <c r="V39" s="131">
        <v>42334</v>
      </c>
    </row>
    <row r="40" spans="1:22" s="114" customFormat="1" ht="15">
      <c r="A40" s="12" t="s">
        <v>50</v>
      </c>
      <c r="B40" s="65">
        <v>42012.28472222222</v>
      </c>
      <c r="C40" s="14">
        <v>722.5</v>
      </c>
      <c r="D40" s="15">
        <v>8</v>
      </c>
      <c r="E40" s="15">
        <f t="shared" si="17"/>
        <v>5791</v>
      </c>
      <c r="F40" s="13"/>
      <c r="G40" s="14">
        <v>711.11</v>
      </c>
      <c r="H40" s="15">
        <f t="shared" si="18"/>
        <v>5688.88</v>
      </c>
      <c r="I40" s="16">
        <f t="shared" si="19"/>
        <v>-102.11999999999989</v>
      </c>
      <c r="J40" s="19">
        <f t="shared" si="22"/>
        <v>-0.017634260058711774</v>
      </c>
      <c r="K40" s="95" t="s">
        <v>91</v>
      </c>
      <c r="L40" s="119"/>
      <c r="M40" s="20">
        <f t="shared" si="21"/>
        <v>671.9250000000001</v>
      </c>
      <c r="N40" s="118">
        <v>873</v>
      </c>
      <c r="O40" s="116"/>
      <c r="P40" s="116" t="s">
        <v>50</v>
      </c>
      <c r="Q40" s="117"/>
      <c r="R40" s="118"/>
      <c r="S40" s="117"/>
      <c r="T40" s="116"/>
      <c r="V40" s="131">
        <v>42363</v>
      </c>
    </row>
    <row r="41" spans="1:20" s="114" customFormat="1" ht="15">
      <c r="A41" s="12" t="s">
        <v>60</v>
      </c>
      <c r="B41" s="65">
        <v>42012.27569444444</v>
      </c>
      <c r="C41" s="14">
        <v>75.9</v>
      </c>
      <c r="D41" s="15">
        <v>190</v>
      </c>
      <c r="E41" s="15">
        <f t="shared" si="17"/>
        <v>14432.000000000002</v>
      </c>
      <c r="F41" s="13"/>
      <c r="G41" s="14">
        <v>77.91</v>
      </c>
      <c r="H41" s="15">
        <f t="shared" si="18"/>
        <v>14802.9</v>
      </c>
      <c r="I41" s="16">
        <f t="shared" si="19"/>
        <v>370.8999999999978</v>
      </c>
      <c r="J41" s="19">
        <f t="shared" si="22"/>
        <v>0.02569983370288233</v>
      </c>
      <c r="K41" s="95" t="s">
        <v>86</v>
      </c>
      <c r="L41" s="119"/>
      <c r="M41" s="20">
        <f t="shared" si="21"/>
        <v>70.587</v>
      </c>
      <c r="N41" s="118">
        <v>97.93</v>
      </c>
      <c r="O41" s="121">
        <f>WORKDAY(B43,40,V$3:V$13)</f>
        <v>42073</v>
      </c>
      <c r="P41" s="116" t="s">
        <v>60</v>
      </c>
      <c r="Q41" s="117"/>
      <c r="R41" s="118"/>
      <c r="S41" s="117">
        <f>1.11*C41</f>
        <v>84.24900000000001</v>
      </c>
      <c r="T41" s="116"/>
    </row>
    <row r="42" spans="1:20" s="114" customFormat="1" ht="15">
      <c r="A42" s="12" t="s">
        <v>60</v>
      </c>
      <c r="B42" s="65">
        <v>42012.520833333336</v>
      </c>
      <c r="C42" s="14">
        <v>78</v>
      </c>
      <c r="D42" s="15">
        <v>110</v>
      </c>
      <c r="E42" s="15">
        <f t="shared" si="17"/>
        <v>8591</v>
      </c>
      <c r="F42" s="13"/>
      <c r="G42" s="14">
        <v>77.91</v>
      </c>
      <c r="H42" s="15">
        <f t="shared" si="18"/>
        <v>8570.1</v>
      </c>
      <c r="I42" s="16">
        <f t="shared" si="19"/>
        <v>-20.899999999999636</v>
      </c>
      <c r="J42" s="19">
        <f t="shared" si="22"/>
        <v>-0.0024327784891164748</v>
      </c>
      <c r="K42" s="95" t="s">
        <v>87</v>
      </c>
      <c r="L42" s="119"/>
      <c r="M42" s="20">
        <f t="shared" si="21"/>
        <v>72.54</v>
      </c>
      <c r="N42" s="118">
        <v>97.93</v>
      </c>
      <c r="P42" s="116" t="s">
        <v>60</v>
      </c>
      <c r="Q42" s="117"/>
      <c r="R42" s="118"/>
      <c r="S42" s="117"/>
      <c r="T42" s="116"/>
    </row>
    <row r="43" spans="1:20" s="114" customFormat="1" ht="15">
      <c r="A43" s="12" t="s">
        <v>60</v>
      </c>
      <c r="B43" s="65">
        <v>42013.274305555555</v>
      </c>
      <c r="C43" s="14">
        <v>79.2</v>
      </c>
      <c r="D43" s="15">
        <v>70</v>
      </c>
      <c r="E43" s="15">
        <f t="shared" si="17"/>
        <v>5555</v>
      </c>
      <c r="F43" s="13"/>
      <c r="G43" s="14">
        <v>77.91</v>
      </c>
      <c r="H43" s="15">
        <f t="shared" si="18"/>
        <v>5453.7</v>
      </c>
      <c r="I43" s="16">
        <f t="shared" si="19"/>
        <v>-101.30000000000018</v>
      </c>
      <c r="J43" s="19">
        <f t="shared" si="22"/>
        <v>-0.018235823582358267</v>
      </c>
      <c r="K43" s="95" t="s">
        <v>88</v>
      </c>
      <c r="L43" s="119"/>
      <c r="M43" s="20">
        <f t="shared" si="21"/>
        <v>73.656</v>
      </c>
      <c r="N43" s="118">
        <v>97.93</v>
      </c>
      <c r="O43" s="116"/>
      <c r="P43" s="116" t="s">
        <v>60</v>
      </c>
      <c r="Q43" s="117"/>
      <c r="R43" s="118"/>
      <c r="S43" s="117"/>
      <c r="T43" s="116"/>
    </row>
    <row r="44" spans="1:20" s="114" customFormat="1" ht="15">
      <c r="A44" s="85" t="s">
        <v>73</v>
      </c>
      <c r="B44" s="65">
        <v>42017.27847222222</v>
      </c>
      <c r="C44" s="14">
        <v>21.2</v>
      </c>
      <c r="D44" s="15">
        <v>680</v>
      </c>
      <c r="E44" s="15">
        <f t="shared" si="17"/>
        <v>14427</v>
      </c>
      <c r="F44" s="13"/>
      <c r="G44" s="14">
        <v>21.76</v>
      </c>
      <c r="H44" s="15">
        <f t="shared" si="18"/>
        <v>14796.800000000001</v>
      </c>
      <c r="I44" s="16">
        <f t="shared" si="19"/>
        <v>369.8000000000011</v>
      </c>
      <c r="J44" s="19">
        <f t="shared" si="22"/>
        <v>0.025632494628127892</v>
      </c>
      <c r="K44" s="95" t="s">
        <v>111</v>
      </c>
      <c r="L44" s="119"/>
      <c r="M44" s="20">
        <f t="shared" si="21"/>
        <v>19.716</v>
      </c>
      <c r="N44" s="118">
        <v>26.43</v>
      </c>
      <c r="O44" s="121">
        <f>WORKDAY(B44,40,V$3:V$13)</f>
        <v>42075</v>
      </c>
      <c r="P44" s="116" t="s">
        <v>73</v>
      </c>
      <c r="Q44" s="117"/>
      <c r="R44" s="118"/>
      <c r="S44" s="117">
        <f>1.11*C44</f>
        <v>23.532</v>
      </c>
      <c r="T44" s="116"/>
    </row>
    <row r="45" spans="1:20" s="114" customFormat="1" ht="15">
      <c r="A45" s="85" t="s">
        <v>73</v>
      </c>
      <c r="B45" s="65">
        <v>42020.5375</v>
      </c>
      <c r="C45" s="14">
        <v>21.73</v>
      </c>
      <c r="D45" s="15">
        <v>400</v>
      </c>
      <c r="E45" s="15">
        <f t="shared" si="17"/>
        <v>8703</v>
      </c>
      <c r="F45" s="13"/>
      <c r="G45" s="14">
        <v>21.76</v>
      </c>
      <c r="H45" s="15">
        <f t="shared" si="18"/>
        <v>8704</v>
      </c>
      <c r="I45" s="16">
        <f t="shared" si="19"/>
        <v>1</v>
      </c>
      <c r="J45" s="19">
        <f t="shared" si="22"/>
        <v>0.0001149029070435482</v>
      </c>
      <c r="K45" s="95" t="s">
        <v>112</v>
      </c>
      <c r="L45" s="119"/>
      <c r="M45" s="20">
        <f t="shared" si="21"/>
        <v>20.2089</v>
      </c>
      <c r="N45" s="118">
        <v>26.43</v>
      </c>
      <c r="O45" s="116"/>
      <c r="P45" s="116" t="s">
        <v>73</v>
      </c>
      <c r="Q45" s="117"/>
      <c r="R45" s="118"/>
      <c r="S45" s="117"/>
      <c r="T45" s="116"/>
    </row>
    <row r="46" spans="1:20" s="114" customFormat="1" ht="15">
      <c r="A46" s="85" t="s">
        <v>58</v>
      </c>
      <c r="B46" s="65">
        <v>42020.27291666667</v>
      </c>
      <c r="C46" s="14">
        <v>40.8</v>
      </c>
      <c r="D46" s="15">
        <v>350</v>
      </c>
      <c r="E46" s="15">
        <f t="shared" si="17"/>
        <v>14290.999999999998</v>
      </c>
      <c r="F46" s="13"/>
      <c r="G46" s="14">
        <v>42.57</v>
      </c>
      <c r="H46" s="15">
        <f t="shared" si="18"/>
        <v>14899.5</v>
      </c>
      <c r="I46" s="16">
        <f t="shared" si="19"/>
        <v>608.5000000000018</v>
      </c>
      <c r="J46" s="19">
        <f t="shared" si="22"/>
        <v>0.04257924567909887</v>
      </c>
      <c r="K46" s="95" t="s">
        <v>120</v>
      </c>
      <c r="L46" s="119"/>
      <c r="M46" s="20">
        <f t="shared" si="21"/>
        <v>37.944</v>
      </c>
      <c r="N46" s="118">
        <v>56.56</v>
      </c>
      <c r="O46" s="116"/>
      <c r="P46" s="116" t="s">
        <v>58</v>
      </c>
      <c r="Q46" s="117"/>
      <c r="R46" s="118"/>
      <c r="S46" s="117">
        <f>1.11*C46</f>
        <v>45.288000000000004</v>
      </c>
      <c r="T46" s="116"/>
    </row>
    <row r="47" spans="1:20" s="114" customFormat="1" ht="15">
      <c r="A47" s="12"/>
      <c r="B47" s="13"/>
      <c r="C47" s="14"/>
      <c r="D47" s="15"/>
      <c r="E47" s="15"/>
      <c r="F47" s="13"/>
      <c r="G47" s="14"/>
      <c r="H47" s="15"/>
      <c r="I47" s="16"/>
      <c r="J47" s="19"/>
      <c r="K47" s="95"/>
      <c r="L47" s="119"/>
      <c r="M47" s="32"/>
      <c r="N47" s="118"/>
      <c r="Q47" s="117"/>
      <c r="R47" s="117"/>
      <c r="S47" s="117"/>
      <c r="T47" s="116"/>
    </row>
    <row r="48" spans="1:20" s="114" customFormat="1" ht="15">
      <c r="A48" s="21" t="s">
        <v>14</v>
      </c>
      <c r="B48" s="22"/>
      <c r="C48" s="23"/>
      <c r="D48" s="24"/>
      <c r="E48" s="24">
        <f>SUM(E30:E47)</f>
        <v>175463.94</v>
      </c>
      <c r="F48" s="22"/>
      <c r="G48" s="23"/>
      <c r="H48" s="24">
        <f>SUM(H30:H47)</f>
        <v>178200.35</v>
      </c>
      <c r="I48" s="25">
        <f>SUM(I30:I47)</f>
        <v>2736.41</v>
      </c>
      <c r="J48" s="26">
        <f>I48/E48</f>
        <v>0.015595284136444216</v>
      </c>
      <c r="K48" s="27" t="s">
        <v>15</v>
      </c>
      <c r="L48" s="28">
        <f>100000+I50</f>
        <v>100818.91</v>
      </c>
      <c r="M48" s="81"/>
      <c r="N48" s="89"/>
      <c r="Q48" s="117"/>
      <c r="R48" s="117"/>
      <c r="S48" s="117"/>
      <c r="T48" s="116"/>
    </row>
    <row r="49" spans="1:20" s="114" customFormat="1" ht="15">
      <c r="A49" s="12" t="s">
        <v>67</v>
      </c>
      <c r="B49" s="22"/>
      <c r="C49" s="25">
        <f>I50-I25</f>
        <v>-5649.449999999995</v>
      </c>
      <c r="D49" s="26">
        <f>C49/H23</f>
        <v>-0.028762193939190273</v>
      </c>
      <c r="E49" s="24"/>
      <c r="F49" s="22" t="s">
        <v>16</v>
      </c>
      <c r="G49" s="117"/>
      <c r="H49" s="29" t="str">
        <f>IF(ABS(H48-E48-I48)&lt;1,"","ERROR")</f>
        <v/>
      </c>
      <c r="I49" s="30">
        <v>-1917.5</v>
      </c>
      <c r="J49" s="26"/>
      <c r="K49" s="111" t="s">
        <v>17</v>
      </c>
      <c r="L49" s="28">
        <f>(2*(100000+I50))-E48</f>
        <v>26173.880000000005</v>
      </c>
      <c r="M49" s="31"/>
      <c r="Q49" s="117"/>
      <c r="R49" s="117"/>
      <c r="S49" s="117"/>
      <c r="T49" s="116"/>
    </row>
    <row r="50" spans="1:20" s="114" customFormat="1" ht="15">
      <c r="A50" s="12" t="s">
        <v>54</v>
      </c>
      <c r="B50" s="22"/>
      <c r="C50" s="25">
        <f>L48-L23</f>
        <v>-5649.449999999997</v>
      </c>
      <c r="D50" s="26">
        <f>C50/L23</f>
        <v>-0.05306224309268967</v>
      </c>
      <c r="E50" s="24"/>
      <c r="F50" s="22" t="s">
        <v>18</v>
      </c>
      <c r="G50" s="117"/>
      <c r="H50" s="29"/>
      <c r="I50" s="30">
        <f>I48+I49</f>
        <v>818.9099999999999</v>
      </c>
      <c r="J50" s="26">
        <f>I50/100000</f>
        <v>0.008189099999999998</v>
      </c>
      <c r="K50" s="111" t="s">
        <v>19</v>
      </c>
      <c r="L50" s="26">
        <f>E48/(2*(100000+I50))</f>
        <v>0.8701935976098134</v>
      </c>
      <c r="M50" s="31"/>
      <c r="Q50" s="117"/>
      <c r="R50" s="117"/>
      <c r="S50" s="117"/>
      <c r="T50" s="116"/>
    </row>
    <row r="51" spans="2:20" s="114" customFormat="1" ht="15">
      <c r="B51" s="22"/>
      <c r="C51" s="25"/>
      <c r="D51" s="26"/>
      <c r="E51" s="24"/>
      <c r="F51" s="22"/>
      <c r="G51" s="117"/>
      <c r="H51" s="29"/>
      <c r="I51" s="30"/>
      <c r="J51" s="26"/>
      <c r="K51" s="111"/>
      <c r="L51" s="26"/>
      <c r="M51" s="31"/>
      <c r="Q51" s="117"/>
      <c r="R51" s="117"/>
      <c r="S51" s="117"/>
      <c r="T51" s="116"/>
    </row>
    <row r="52" spans="1:20" s="114" customFormat="1" ht="15">
      <c r="A52" s="12"/>
      <c r="B52" s="22"/>
      <c r="C52" s="25"/>
      <c r="D52" s="26"/>
      <c r="E52" s="24"/>
      <c r="F52" s="22"/>
      <c r="G52" s="117"/>
      <c r="H52" s="29"/>
      <c r="I52" s="30"/>
      <c r="J52" s="26"/>
      <c r="K52" s="111"/>
      <c r="L52" s="26"/>
      <c r="M52" s="31"/>
      <c r="Q52" s="117"/>
      <c r="R52" s="117"/>
      <c r="S52" s="117"/>
      <c r="T52" s="116"/>
    </row>
    <row r="53" spans="1:20" s="114" customFormat="1" ht="30.75" customHeight="1">
      <c r="A53" s="108" t="s">
        <v>57</v>
      </c>
      <c r="B53" s="384" t="s">
        <v>115</v>
      </c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92"/>
      <c r="P53" s="92"/>
      <c r="Q53" s="104"/>
      <c r="R53" s="104"/>
      <c r="S53" s="107"/>
      <c r="T53" s="109"/>
    </row>
    <row r="54" spans="1:22" s="114" customFormat="1" ht="15">
      <c r="A54" s="2" t="s">
        <v>0</v>
      </c>
      <c r="B54" s="3" t="s">
        <v>1</v>
      </c>
      <c r="C54" s="4" t="s">
        <v>2</v>
      </c>
      <c r="D54" s="5" t="s">
        <v>3</v>
      </c>
      <c r="E54" s="6" t="s">
        <v>4</v>
      </c>
      <c r="F54" s="3" t="s">
        <v>5</v>
      </c>
      <c r="G54" s="7" t="s">
        <v>2</v>
      </c>
      <c r="H54" s="6" t="s">
        <v>6</v>
      </c>
      <c r="I54" s="6" t="s">
        <v>7</v>
      </c>
      <c r="J54" s="8" t="s">
        <v>8</v>
      </c>
      <c r="K54" s="9" t="s">
        <v>9</v>
      </c>
      <c r="L54" s="10" t="s">
        <v>10</v>
      </c>
      <c r="M54" s="11" t="s">
        <v>11</v>
      </c>
      <c r="N54" s="103" t="s">
        <v>53</v>
      </c>
      <c r="O54" s="105" t="s">
        <v>110</v>
      </c>
      <c r="P54" s="106" t="s">
        <v>0</v>
      </c>
      <c r="Q54" s="117" t="s">
        <v>13</v>
      </c>
      <c r="R54" s="117" t="s">
        <v>70</v>
      </c>
      <c r="S54" s="111" t="s">
        <v>103</v>
      </c>
      <c r="T54" s="116" t="s">
        <v>107</v>
      </c>
      <c r="V54" s="9" t="s">
        <v>72</v>
      </c>
    </row>
    <row r="55" spans="1:22" s="114" customFormat="1" ht="15">
      <c r="A55" s="12" t="s">
        <v>92</v>
      </c>
      <c r="B55" s="65">
        <v>42010.447916666664</v>
      </c>
      <c r="C55" s="14">
        <v>111.9</v>
      </c>
      <c r="D55" s="15">
        <v>130</v>
      </c>
      <c r="E55" s="15">
        <f aca="true" t="shared" si="23" ref="E55:E74">C55*D55+11</f>
        <v>14558</v>
      </c>
      <c r="F55" s="13"/>
      <c r="G55" s="14">
        <v>119.31</v>
      </c>
      <c r="H55" s="15">
        <f aca="true" t="shared" si="24" ref="H55:H74">G55*D55</f>
        <v>15510.300000000001</v>
      </c>
      <c r="I55" s="16">
        <f aca="true" t="shared" si="25" ref="I55:I74">H55-E55</f>
        <v>952.3000000000011</v>
      </c>
      <c r="J55" s="19">
        <f aca="true" t="shared" si="26" ref="J55">I55/E55</f>
        <v>0.0654142052479737</v>
      </c>
      <c r="K55" s="95" t="s">
        <v>93</v>
      </c>
      <c r="L55" s="97"/>
      <c r="M55" s="20">
        <f aca="true" t="shared" si="27" ref="M55:M74">C55*0.93</f>
        <v>104.06700000000001</v>
      </c>
      <c r="N55" s="118">
        <v>141.88</v>
      </c>
      <c r="O55" s="121">
        <f>WORKDAY(B56,40,V$3:V$13)</f>
        <v>42069</v>
      </c>
      <c r="P55" s="116" t="s">
        <v>92</v>
      </c>
      <c r="Q55" s="117"/>
      <c r="R55" s="118"/>
      <c r="S55" s="117">
        <f>1.11*C55</f>
        <v>124.20900000000002</v>
      </c>
      <c r="T55" s="116"/>
      <c r="V55" s="131">
        <v>42005</v>
      </c>
    </row>
    <row r="56" spans="1:22" s="114" customFormat="1" ht="15">
      <c r="A56" s="12" t="s">
        <v>92</v>
      </c>
      <c r="B56" s="65">
        <v>42011.34305555555</v>
      </c>
      <c r="C56" s="14">
        <v>114.4</v>
      </c>
      <c r="D56" s="15">
        <v>75</v>
      </c>
      <c r="E56" s="15">
        <f t="shared" si="23"/>
        <v>8591</v>
      </c>
      <c r="F56" s="13"/>
      <c r="G56" s="14">
        <v>119.31</v>
      </c>
      <c r="H56" s="15">
        <f t="shared" si="24"/>
        <v>8948.25</v>
      </c>
      <c r="I56" s="16">
        <f t="shared" si="25"/>
        <v>357.25</v>
      </c>
      <c r="J56" s="19">
        <f>I56/E56</f>
        <v>0.04158421604004191</v>
      </c>
      <c r="K56" s="95" t="s">
        <v>94</v>
      </c>
      <c r="L56" s="97"/>
      <c r="M56" s="20">
        <f t="shared" si="27"/>
        <v>106.39200000000001</v>
      </c>
      <c r="N56" s="118">
        <v>141.88</v>
      </c>
      <c r="O56" s="116"/>
      <c r="P56" s="116" t="s">
        <v>92</v>
      </c>
      <c r="Q56" s="117"/>
      <c r="R56" s="118"/>
      <c r="S56" s="117"/>
      <c r="T56" s="116"/>
      <c r="V56" s="131">
        <v>42023</v>
      </c>
    </row>
    <row r="57" spans="1:22" s="114" customFormat="1" ht="15">
      <c r="A57" s="12" t="s">
        <v>92</v>
      </c>
      <c r="B57" s="65">
        <v>42012.39513888889</v>
      </c>
      <c r="C57" s="14">
        <v>117.75</v>
      </c>
      <c r="D57" s="15">
        <v>50</v>
      </c>
      <c r="E57" s="15">
        <f t="shared" si="23"/>
        <v>5898.5</v>
      </c>
      <c r="F57" s="13"/>
      <c r="G57" s="14">
        <v>119.31</v>
      </c>
      <c r="H57" s="15">
        <f t="shared" si="24"/>
        <v>5965.5</v>
      </c>
      <c r="I57" s="16">
        <f t="shared" si="25"/>
        <v>67</v>
      </c>
      <c r="J57" s="19">
        <f>I57/E57</f>
        <v>0.011358820038992964</v>
      </c>
      <c r="K57" s="95" t="s">
        <v>95</v>
      </c>
      <c r="L57" s="97"/>
      <c r="M57" s="20">
        <f t="shared" si="27"/>
        <v>109.50750000000001</v>
      </c>
      <c r="N57" s="118">
        <v>141.88</v>
      </c>
      <c r="O57" s="116"/>
      <c r="P57" s="116" t="s">
        <v>92</v>
      </c>
      <c r="Q57" s="117"/>
      <c r="R57" s="118"/>
      <c r="S57" s="117"/>
      <c r="T57" s="116"/>
      <c r="V57" s="131">
        <v>42005</v>
      </c>
    </row>
    <row r="58" spans="1:22" s="114" customFormat="1" ht="15">
      <c r="A58" s="12" t="s">
        <v>64</v>
      </c>
      <c r="B58" s="65">
        <v>42011.27291666667</v>
      </c>
      <c r="C58" s="14">
        <v>70.75</v>
      </c>
      <c r="D58" s="15">
        <v>200</v>
      </c>
      <c r="E58" s="15">
        <f t="shared" si="23"/>
        <v>14161</v>
      </c>
      <c r="F58" s="13"/>
      <c r="G58" s="14">
        <v>80.86</v>
      </c>
      <c r="H58" s="15">
        <f t="shared" si="24"/>
        <v>16172</v>
      </c>
      <c r="I58" s="16">
        <f t="shared" si="25"/>
        <v>2011</v>
      </c>
      <c r="J58" s="19">
        <f aca="true" t="shared" si="28" ref="J58:J74">I58/E58</f>
        <v>0.1420097450745004</v>
      </c>
      <c r="K58" s="95" t="s">
        <v>74</v>
      </c>
      <c r="L58" s="97">
        <v>70.78</v>
      </c>
      <c r="M58" s="41">
        <f t="shared" si="27"/>
        <v>65.7975</v>
      </c>
      <c r="N58" s="118">
        <v>93.71</v>
      </c>
      <c r="O58" s="121">
        <f>WORKDAY(B60,40,V$3:V$13)</f>
        <v>42081</v>
      </c>
      <c r="P58" s="116" t="s">
        <v>79</v>
      </c>
      <c r="Q58" s="117">
        <v>82.78</v>
      </c>
      <c r="R58" s="118">
        <f>Q58*0.855</f>
        <v>70.7769</v>
      </c>
      <c r="S58" s="117">
        <f>1.11*C58</f>
        <v>78.53250000000001</v>
      </c>
      <c r="T58" s="116"/>
      <c r="V58" s="131">
        <v>42023</v>
      </c>
    </row>
    <row r="59" spans="1:22" s="114" customFormat="1" ht="15">
      <c r="A59" s="12" t="s">
        <v>64</v>
      </c>
      <c r="B59" s="65">
        <v>42012.27847222222</v>
      </c>
      <c r="C59" s="14">
        <v>72.34</v>
      </c>
      <c r="D59" s="15">
        <v>120</v>
      </c>
      <c r="E59" s="15">
        <f t="shared" si="23"/>
        <v>8691.800000000001</v>
      </c>
      <c r="F59" s="13"/>
      <c r="G59" s="14">
        <v>80.86</v>
      </c>
      <c r="H59" s="15">
        <f t="shared" si="24"/>
        <v>9703.2</v>
      </c>
      <c r="I59" s="16">
        <f t="shared" si="25"/>
        <v>1011.3999999999996</v>
      </c>
      <c r="J59" s="19">
        <f t="shared" si="28"/>
        <v>0.11636254860903375</v>
      </c>
      <c r="K59" s="95" t="s">
        <v>117</v>
      </c>
      <c r="L59" s="97">
        <v>70.78</v>
      </c>
      <c r="M59" s="41">
        <f t="shared" si="27"/>
        <v>67.2762</v>
      </c>
      <c r="N59" s="118">
        <v>93.71</v>
      </c>
      <c r="O59" s="116"/>
      <c r="P59" s="116" t="s">
        <v>79</v>
      </c>
      <c r="Q59" s="117"/>
      <c r="R59" s="118"/>
      <c r="S59" s="117"/>
      <c r="T59" s="116"/>
      <c r="V59" s="131">
        <v>42051</v>
      </c>
    </row>
    <row r="60" spans="1:22" s="114" customFormat="1" ht="15">
      <c r="A60" s="12" t="s">
        <v>64</v>
      </c>
      <c r="B60" s="65">
        <v>42024.27291666667</v>
      </c>
      <c r="C60" s="14">
        <v>75.2</v>
      </c>
      <c r="D60" s="15">
        <v>80</v>
      </c>
      <c r="E60" s="15">
        <f t="shared" si="23"/>
        <v>6027</v>
      </c>
      <c r="F60" s="13"/>
      <c r="G60" s="14">
        <v>80.86</v>
      </c>
      <c r="H60" s="15">
        <f t="shared" si="24"/>
        <v>6468.8</v>
      </c>
      <c r="I60" s="16">
        <f t="shared" si="25"/>
        <v>441.8000000000002</v>
      </c>
      <c r="J60" s="19">
        <f t="shared" si="28"/>
        <v>0.07330346772855487</v>
      </c>
      <c r="K60" s="95" t="s">
        <v>116</v>
      </c>
      <c r="L60" s="97">
        <v>70.78</v>
      </c>
      <c r="M60" s="41">
        <f t="shared" si="27"/>
        <v>69.936</v>
      </c>
      <c r="N60" s="118">
        <v>93.71</v>
      </c>
      <c r="O60" s="116"/>
      <c r="P60" s="116" t="s">
        <v>79</v>
      </c>
      <c r="Q60" s="117"/>
      <c r="R60" s="118"/>
      <c r="S60" s="117"/>
      <c r="T60" s="116"/>
      <c r="V60" s="131">
        <v>42097</v>
      </c>
    </row>
    <row r="61" spans="1:22" s="114" customFormat="1" ht="15">
      <c r="A61" s="12" t="s">
        <v>80</v>
      </c>
      <c r="B61" s="65">
        <v>42011.30486111111</v>
      </c>
      <c r="C61" s="14">
        <v>58.02</v>
      </c>
      <c r="D61" s="15">
        <v>250</v>
      </c>
      <c r="E61" s="15">
        <f t="shared" si="23"/>
        <v>14516</v>
      </c>
      <c r="F61" s="13"/>
      <c r="G61" s="14">
        <v>57.41</v>
      </c>
      <c r="H61" s="15">
        <f t="shared" si="24"/>
        <v>14352.5</v>
      </c>
      <c r="I61" s="16">
        <f t="shared" si="25"/>
        <v>-163.5</v>
      </c>
      <c r="J61" s="19">
        <f t="shared" si="28"/>
        <v>-0.011263433452741802</v>
      </c>
      <c r="K61" s="95" t="s">
        <v>81</v>
      </c>
      <c r="L61" s="97"/>
      <c r="M61" s="20">
        <f t="shared" si="27"/>
        <v>53.958600000000004</v>
      </c>
      <c r="N61" s="118">
        <v>76.6</v>
      </c>
      <c r="O61" s="124"/>
      <c r="P61" s="116" t="s">
        <v>80</v>
      </c>
      <c r="Q61" s="117"/>
      <c r="R61" s="118"/>
      <c r="S61" s="117">
        <f>1.11*C61</f>
        <v>64.40220000000001</v>
      </c>
      <c r="T61" s="116"/>
      <c r="V61" s="131">
        <v>42149</v>
      </c>
    </row>
    <row r="62" spans="1:22" s="114" customFormat="1" ht="15">
      <c r="A62" s="12" t="s">
        <v>80</v>
      </c>
      <c r="B62" s="65">
        <v>42011.40694444445</v>
      </c>
      <c r="C62" s="14">
        <v>59.16</v>
      </c>
      <c r="D62" s="15">
        <v>150</v>
      </c>
      <c r="E62" s="15">
        <f t="shared" si="23"/>
        <v>8885</v>
      </c>
      <c r="F62" s="13"/>
      <c r="G62" s="14">
        <v>57.41</v>
      </c>
      <c r="H62" s="15">
        <f t="shared" si="24"/>
        <v>8611.5</v>
      </c>
      <c r="I62" s="16">
        <f t="shared" si="25"/>
        <v>-273.5</v>
      </c>
      <c r="J62" s="122">
        <f t="shared" si="28"/>
        <v>-0.030782217220033766</v>
      </c>
      <c r="K62" s="95" t="s">
        <v>82</v>
      </c>
      <c r="L62" s="119"/>
      <c r="M62" s="20">
        <f t="shared" si="27"/>
        <v>55.0188</v>
      </c>
      <c r="N62" s="118">
        <v>77.93</v>
      </c>
      <c r="O62" s="116"/>
      <c r="P62" s="116" t="s">
        <v>80</v>
      </c>
      <c r="Q62" s="117"/>
      <c r="R62" s="118"/>
      <c r="S62" s="117"/>
      <c r="T62" s="116"/>
      <c r="V62" s="131">
        <v>42188</v>
      </c>
    </row>
    <row r="63" spans="1:22" s="114" customFormat="1" ht="15">
      <c r="A63" s="12" t="s">
        <v>80</v>
      </c>
      <c r="B63" s="65">
        <v>42012.29305555556</v>
      </c>
      <c r="C63" s="14">
        <v>60.3</v>
      </c>
      <c r="D63" s="15">
        <v>100</v>
      </c>
      <c r="E63" s="15">
        <f t="shared" si="23"/>
        <v>6041</v>
      </c>
      <c r="F63" s="13"/>
      <c r="G63" s="14">
        <v>57.41</v>
      </c>
      <c r="H63" s="15">
        <f t="shared" si="24"/>
        <v>5741</v>
      </c>
      <c r="I63" s="16">
        <f t="shared" si="25"/>
        <v>-300</v>
      </c>
      <c r="J63" s="19">
        <f t="shared" si="28"/>
        <v>-0.04966065220989902</v>
      </c>
      <c r="K63" s="95" t="s">
        <v>83</v>
      </c>
      <c r="L63" s="119"/>
      <c r="M63" s="20">
        <f t="shared" si="27"/>
        <v>56.079</v>
      </c>
      <c r="N63" s="118">
        <v>77.93</v>
      </c>
      <c r="O63" s="116"/>
      <c r="P63" s="116" t="s">
        <v>80</v>
      </c>
      <c r="Q63" s="117"/>
      <c r="R63" s="118"/>
      <c r="S63" s="117"/>
      <c r="T63" s="116"/>
      <c r="V63" s="131">
        <v>42254</v>
      </c>
    </row>
    <row r="64" spans="1:22" s="114" customFormat="1" ht="15">
      <c r="A64" s="12" t="s">
        <v>50</v>
      </c>
      <c r="B64" s="65">
        <v>42011.50555555556</v>
      </c>
      <c r="C64" s="14">
        <v>691</v>
      </c>
      <c r="D64" s="15">
        <v>20</v>
      </c>
      <c r="E64" s="15">
        <f t="shared" si="23"/>
        <v>13831</v>
      </c>
      <c r="F64" s="13"/>
      <c r="G64" s="14">
        <v>713.69</v>
      </c>
      <c r="H64" s="15">
        <f t="shared" si="24"/>
        <v>14273.800000000001</v>
      </c>
      <c r="I64" s="16">
        <f t="shared" si="25"/>
        <v>442.8000000000011</v>
      </c>
      <c r="J64" s="19">
        <f t="shared" si="28"/>
        <v>0.03201503868122342</v>
      </c>
      <c r="K64" s="95" t="s">
        <v>89</v>
      </c>
      <c r="L64" s="119"/>
      <c r="M64" s="20">
        <f t="shared" si="27"/>
        <v>642.63</v>
      </c>
      <c r="N64" s="118">
        <v>873</v>
      </c>
      <c r="O64" s="121">
        <f>WORKDAY(B65,40,V$3:V$13)</f>
        <v>42072</v>
      </c>
      <c r="P64" s="116" t="s">
        <v>50</v>
      </c>
      <c r="Q64" s="117"/>
      <c r="R64" s="118"/>
      <c r="S64" s="117">
        <f>1.11*C64</f>
        <v>767.0100000000001</v>
      </c>
      <c r="T64" s="116"/>
      <c r="V64" s="131">
        <v>42334</v>
      </c>
    </row>
    <row r="65" spans="1:22" s="114" customFormat="1" ht="15">
      <c r="A65" s="12" t="s">
        <v>50</v>
      </c>
      <c r="B65" s="65">
        <v>42012.27291666667</v>
      </c>
      <c r="C65" s="14">
        <v>707.47</v>
      </c>
      <c r="D65" s="15">
        <v>12</v>
      </c>
      <c r="E65" s="15">
        <f t="shared" si="23"/>
        <v>8500.64</v>
      </c>
      <c r="F65" s="13"/>
      <c r="G65" s="14">
        <v>713.69</v>
      </c>
      <c r="H65" s="15">
        <f t="shared" si="24"/>
        <v>8564.28</v>
      </c>
      <c r="I65" s="16">
        <f t="shared" si="25"/>
        <v>63.64000000000124</v>
      </c>
      <c r="J65" s="19">
        <f t="shared" si="28"/>
        <v>0.0074864951344841375</v>
      </c>
      <c r="K65" s="95" t="s">
        <v>90</v>
      </c>
      <c r="L65" s="119"/>
      <c r="M65" s="20">
        <f t="shared" si="27"/>
        <v>657.9471000000001</v>
      </c>
      <c r="N65" s="118">
        <v>873</v>
      </c>
      <c r="O65" s="116"/>
      <c r="P65" s="116" t="s">
        <v>50</v>
      </c>
      <c r="Q65" s="117"/>
      <c r="R65" s="118"/>
      <c r="S65" s="117"/>
      <c r="T65" s="116"/>
      <c r="V65" s="131">
        <v>42363</v>
      </c>
    </row>
    <row r="66" spans="1:20" s="114" customFormat="1" ht="15">
      <c r="A66" s="12" t="s">
        <v>50</v>
      </c>
      <c r="B66" s="65">
        <v>42012.28472222222</v>
      </c>
      <c r="C66" s="14">
        <v>722.5</v>
      </c>
      <c r="D66" s="15">
        <v>8</v>
      </c>
      <c r="E66" s="15">
        <f t="shared" si="23"/>
        <v>5791</v>
      </c>
      <c r="F66" s="13"/>
      <c r="G66" s="14">
        <v>713.69</v>
      </c>
      <c r="H66" s="15">
        <f t="shared" si="24"/>
        <v>5709.52</v>
      </c>
      <c r="I66" s="16">
        <f t="shared" si="25"/>
        <v>-81.47999999999956</v>
      </c>
      <c r="J66" s="19">
        <f t="shared" si="28"/>
        <v>-0.014070108789500874</v>
      </c>
      <c r="K66" s="95" t="s">
        <v>91</v>
      </c>
      <c r="L66" s="119"/>
      <c r="M66" s="20">
        <f t="shared" si="27"/>
        <v>671.9250000000001</v>
      </c>
      <c r="N66" s="118">
        <v>873</v>
      </c>
      <c r="O66" s="116"/>
      <c r="P66" s="116" t="s">
        <v>50</v>
      </c>
      <c r="Q66" s="117"/>
      <c r="R66" s="118"/>
      <c r="S66" s="117"/>
      <c r="T66" s="116"/>
    </row>
    <row r="67" spans="1:20" s="114" customFormat="1" ht="15">
      <c r="A67" s="12" t="s">
        <v>60</v>
      </c>
      <c r="B67" s="65">
        <v>42012.27569444444</v>
      </c>
      <c r="C67" s="14">
        <v>75.9</v>
      </c>
      <c r="D67" s="15">
        <v>190</v>
      </c>
      <c r="E67" s="15">
        <f t="shared" si="23"/>
        <v>14432.000000000002</v>
      </c>
      <c r="F67" s="13"/>
      <c r="G67" s="14">
        <v>80.23</v>
      </c>
      <c r="H67" s="15">
        <f t="shared" si="24"/>
        <v>15243.7</v>
      </c>
      <c r="I67" s="16">
        <f t="shared" si="25"/>
        <v>811.6999999999989</v>
      </c>
      <c r="J67" s="19">
        <f t="shared" si="28"/>
        <v>0.056243070953436725</v>
      </c>
      <c r="K67" s="95" t="s">
        <v>86</v>
      </c>
      <c r="L67" s="119"/>
      <c r="M67" s="20">
        <f t="shared" si="27"/>
        <v>70.587</v>
      </c>
      <c r="N67" s="118">
        <v>97.93</v>
      </c>
      <c r="O67" s="121">
        <f>WORKDAY(B69,40,V$3:V$13)</f>
        <v>42073</v>
      </c>
      <c r="P67" s="116" t="s">
        <v>60</v>
      </c>
      <c r="Q67" s="117"/>
      <c r="R67" s="118"/>
      <c r="S67" s="117">
        <f>1.11*C67</f>
        <v>84.24900000000001</v>
      </c>
      <c r="T67" s="116"/>
    </row>
    <row r="68" spans="1:20" s="114" customFormat="1" ht="15">
      <c r="A68" s="12" t="s">
        <v>60</v>
      </c>
      <c r="B68" s="65">
        <v>42012.520833333336</v>
      </c>
      <c r="C68" s="14">
        <v>78</v>
      </c>
      <c r="D68" s="15">
        <v>110</v>
      </c>
      <c r="E68" s="15">
        <f t="shared" si="23"/>
        <v>8591</v>
      </c>
      <c r="F68" s="13"/>
      <c r="G68" s="14">
        <v>80.23</v>
      </c>
      <c r="H68" s="15">
        <f t="shared" si="24"/>
        <v>8825.300000000001</v>
      </c>
      <c r="I68" s="16">
        <f t="shared" si="25"/>
        <v>234.3000000000011</v>
      </c>
      <c r="J68" s="19">
        <f t="shared" si="28"/>
        <v>0.0272727272727274</v>
      </c>
      <c r="K68" s="95" t="s">
        <v>87</v>
      </c>
      <c r="L68" s="119"/>
      <c r="M68" s="20">
        <f t="shared" si="27"/>
        <v>72.54</v>
      </c>
      <c r="N68" s="118">
        <v>97.93</v>
      </c>
      <c r="P68" s="116" t="s">
        <v>60</v>
      </c>
      <c r="Q68" s="117"/>
      <c r="R68" s="118"/>
      <c r="S68" s="117"/>
      <c r="T68" s="116"/>
    </row>
    <row r="69" spans="1:20" s="114" customFormat="1" ht="15">
      <c r="A69" s="12" t="s">
        <v>60</v>
      </c>
      <c r="B69" s="65">
        <v>42013.274305555555</v>
      </c>
      <c r="C69" s="14">
        <v>79.2</v>
      </c>
      <c r="D69" s="15">
        <v>70</v>
      </c>
      <c r="E69" s="15">
        <f t="shared" si="23"/>
        <v>5555</v>
      </c>
      <c r="F69" s="13"/>
      <c r="G69" s="14">
        <v>80.23</v>
      </c>
      <c r="H69" s="15">
        <f t="shared" si="24"/>
        <v>5616.1</v>
      </c>
      <c r="I69" s="16">
        <f t="shared" si="25"/>
        <v>61.100000000000364</v>
      </c>
      <c r="J69" s="19">
        <f t="shared" si="28"/>
        <v>0.010999099909991065</v>
      </c>
      <c r="K69" s="95" t="s">
        <v>88</v>
      </c>
      <c r="L69" s="119"/>
      <c r="M69" s="20">
        <f t="shared" si="27"/>
        <v>73.656</v>
      </c>
      <c r="N69" s="118">
        <v>97.93</v>
      </c>
      <c r="O69" s="116"/>
      <c r="P69" s="116" t="s">
        <v>60</v>
      </c>
      <c r="Q69" s="117"/>
      <c r="R69" s="118"/>
      <c r="S69" s="117"/>
      <c r="T69" s="116"/>
    </row>
    <row r="70" spans="1:20" s="114" customFormat="1" ht="15">
      <c r="A70" s="12" t="s">
        <v>73</v>
      </c>
      <c r="B70" s="65">
        <v>42017.27847222222</v>
      </c>
      <c r="C70" s="14">
        <v>21.2</v>
      </c>
      <c r="D70" s="15">
        <v>680</v>
      </c>
      <c r="E70" s="15">
        <f t="shared" si="23"/>
        <v>14427</v>
      </c>
      <c r="F70" s="13"/>
      <c r="G70" s="14">
        <v>22.17</v>
      </c>
      <c r="H70" s="15">
        <f t="shared" si="24"/>
        <v>15075.6</v>
      </c>
      <c r="I70" s="16">
        <f t="shared" si="25"/>
        <v>648.6000000000004</v>
      </c>
      <c r="J70" s="19">
        <f t="shared" si="28"/>
        <v>0.04495737159492621</v>
      </c>
      <c r="K70" s="95" t="s">
        <v>111</v>
      </c>
      <c r="L70" s="119"/>
      <c r="M70" s="20">
        <f t="shared" si="27"/>
        <v>19.716</v>
      </c>
      <c r="N70" s="118">
        <v>26.43</v>
      </c>
      <c r="O70" s="121">
        <f>WORKDAY(B70,40,V$3:V$13)</f>
        <v>42075</v>
      </c>
      <c r="P70" s="116" t="s">
        <v>73</v>
      </c>
      <c r="Q70" s="117"/>
      <c r="R70" s="118"/>
      <c r="S70" s="117">
        <f>1.11*C70</f>
        <v>23.532</v>
      </c>
      <c r="T70" s="116"/>
    </row>
    <row r="71" spans="1:20" s="114" customFormat="1" ht="15">
      <c r="A71" s="12" t="s">
        <v>73</v>
      </c>
      <c r="B71" s="65">
        <v>42020.5375</v>
      </c>
      <c r="C71" s="14">
        <v>21.73</v>
      </c>
      <c r="D71" s="15">
        <v>400</v>
      </c>
      <c r="E71" s="15">
        <f t="shared" si="23"/>
        <v>8703</v>
      </c>
      <c r="F71" s="13"/>
      <c r="G71" s="14">
        <v>22.17</v>
      </c>
      <c r="H71" s="15">
        <f t="shared" si="24"/>
        <v>8868</v>
      </c>
      <c r="I71" s="16">
        <f t="shared" si="25"/>
        <v>165</v>
      </c>
      <c r="J71" s="19">
        <f t="shared" si="28"/>
        <v>0.018958979662185453</v>
      </c>
      <c r="K71" s="95" t="s">
        <v>119</v>
      </c>
      <c r="L71" s="119"/>
      <c r="M71" s="20">
        <f t="shared" si="27"/>
        <v>20.2089</v>
      </c>
      <c r="N71" s="118">
        <v>26.43</v>
      </c>
      <c r="O71" s="116"/>
      <c r="P71" s="116" t="s">
        <v>73</v>
      </c>
      <c r="Q71" s="117"/>
      <c r="R71" s="118"/>
      <c r="S71" s="117"/>
      <c r="T71" s="116"/>
    </row>
    <row r="72" spans="1:20" s="114" customFormat="1" ht="15">
      <c r="A72" s="85" t="s">
        <v>73</v>
      </c>
      <c r="B72" s="65">
        <v>42024.39791666667</v>
      </c>
      <c r="C72" s="14">
        <v>22.2</v>
      </c>
      <c r="D72" s="15">
        <v>260</v>
      </c>
      <c r="E72" s="15">
        <f t="shared" si="23"/>
        <v>5783</v>
      </c>
      <c r="F72" s="13"/>
      <c r="G72" s="14">
        <v>22.17</v>
      </c>
      <c r="H72" s="15">
        <f t="shared" si="24"/>
        <v>5764.200000000001</v>
      </c>
      <c r="I72" s="16">
        <f t="shared" si="25"/>
        <v>-18.799999999999272</v>
      </c>
      <c r="J72" s="19">
        <f t="shared" si="28"/>
        <v>-0.0032509078333043872</v>
      </c>
      <c r="K72" s="95" t="s">
        <v>118</v>
      </c>
      <c r="L72" s="119"/>
      <c r="M72" s="20">
        <f t="shared" si="27"/>
        <v>20.646</v>
      </c>
      <c r="N72" s="118">
        <v>26.43</v>
      </c>
      <c r="O72" s="116"/>
      <c r="P72" s="116" t="s">
        <v>73</v>
      </c>
      <c r="Q72" s="117"/>
      <c r="R72" s="118"/>
      <c r="S72" s="117"/>
      <c r="T72" s="116"/>
    </row>
    <row r="73" spans="1:20" s="114" customFormat="1" ht="15">
      <c r="A73" s="12" t="s">
        <v>58</v>
      </c>
      <c r="B73" s="65">
        <v>42020.27291666667</v>
      </c>
      <c r="C73" s="14">
        <v>40.8</v>
      </c>
      <c r="D73" s="15">
        <v>350</v>
      </c>
      <c r="E73" s="15">
        <f t="shared" si="23"/>
        <v>14290.999999999998</v>
      </c>
      <c r="F73" s="13"/>
      <c r="G73" s="14">
        <v>42.35</v>
      </c>
      <c r="H73" s="15">
        <f t="shared" si="24"/>
        <v>14822.5</v>
      </c>
      <c r="I73" s="16">
        <f t="shared" si="25"/>
        <v>531.5000000000018</v>
      </c>
      <c r="J73" s="19">
        <f t="shared" si="28"/>
        <v>0.03719123924148078</v>
      </c>
      <c r="K73" s="95" t="s">
        <v>120</v>
      </c>
      <c r="L73" s="119"/>
      <c r="M73" s="20">
        <f t="shared" si="27"/>
        <v>37.944</v>
      </c>
      <c r="N73" s="118">
        <v>56.56</v>
      </c>
      <c r="O73" s="116"/>
      <c r="P73" s="116" t="s">
        <v>58</v>
      </c>
      <c r="Q73" s="117"/>
      <c r="R73" s="118"/>
      <c r="S73" s="117">
        <f>1.11*C73</f>
        <v>45.288000000000004</v>
      </c>
      <c r="T73" s="116"/>
    </row>
    <row r="74" spans="1:20" s="114" customFormat="1" ht="15">
      <c r="A74" s="85" t="s">
        <v>58</v>
      </c>
      <c r="B74" s="65">
        <v>42024.35486111111</v>
      </c>
      <c r="C74" s="14">
        <v>42.9</v>
      </c>
      <c r="D74" s="15">
        <v>200</v>
      </c>
      <c r="E74" s="15">
        <f t="shared" si="23"/>
        <v>8591</v>
      </c>
      <c r="F74" s="13"/>
      <c r="G74" s="14">
        <v>42.35</v>
      </c>
      <c r="H74" s="15">
        <f t="shared" si="24"/>
        <v>8470</v>
      </c>
      <c r="I74" s="16">
        <f t="shared" si="25"/>
        <v>-121</v>
      </c>
      <c r="J74" s="19">
        <f t="shared" si="28"/>
        <v>-0.014084507042253521</v>
      </c>
      <c r="K74" s="95" t="s">
        <v>121</v>
      </c>
      <c r="L74" s="119"/>
      <c r="M74" s="20">
        <f t="shared" si="27"/>
        <v>39.897</v>
      </c>
      <c r="N74" s="118">
        <v>56.56</v>
      </c>
      <c r="O74" s="116"/>
      <c r="P74" s="116" t="s">
        <v>58</v>
      </c>
      <c r="Q74" s="117"/>
      <c r="R74" s="118"/>
      <c r="S74" s="117"/>
      <c r="T74" s="116"/>
    </row>
    <row r="75" spans="1:20" s="114" customFormat="1" ht="15">
      <c r="A75" s="12"/>
      <c r="B75" s="13"/>
      <c r="C75" s="14"/>
      <c r="D75" s="15"/>
      <c r="E75" s="15"/>
      <c r="F75" s="13"/>
      <c r="G75" s="14"/>
      <c r="H75" s="15"/>
      <c r="I75" s="16"/>
      <c r="J75" s="19"/>
      <c r="K75" s="95"/>
      <c r="L75" s="119"/>
      <c r="M75" s="32"/>
      <c r="N75" s="118"/>
      <c r="Q75" s="117"/>
      <c r="R75" s="117"/>
      <c r="S75" s="117"/>
      <c r="T75" s="116"/>
    </row>
    <row r="76" spans="1:20" s="114" customFormat="1" ht="15">
      <c r="A76" s="21" t="s">
        <v>14</v>
      </c>
      <c r="B76" s="22"/>
      <c r="C76" s="23"/>
      <c r="D76" s="24"/>
      <c r="E76" s="24">
        <f>SUM(E55:E75)</f>
        <v>195864.94</v>
      </c>
      <c r="F76" s="22"/>
      <c r="G76" s="23"/>
      <c r="H76" s="24">
        <f>SUM(H55:H75)</f>
        <v>202706.05000000002</v>
      </c>
      <c r="I76" s="25">
        <f>SUM(I55:I75)</f>
        <v>6841.110000000007</v>
      </c>
      <c r="J76" s="26">
        <f>I76/E76</f>
        <v>0.03492769047895967</v>
      </c>
      <c r="K76" s="27" t="s">
        <v>15</v>
      </c>
      <c r="L76" s="28">
        <f>100000+I78</f>
        <v>104923.61</v>
      </c>
      <c r="M76" s="81"/>
      <c r="N76" s="89"/>
      <c r="Q76" s="117"/>
      <c r="R76" s="117"/>
      <c r="S76" s="117"/>
      <c r="T76" s="116"/>
    </row>
    <row r="77" spans="1:20" s="114" customFormat="1" ht="15">
      <c r="A77" s="12" t="s">
        <v>67</v>
      </c>
      <c r="B77" s="22"/>
      <c r="C77" s="25">
        <f>I78-I50</f>
        <v>4104.700000000007</v>
      </c>
      <c r="D77" s="26">
        <f>C77/H48</f>
        <v>0.023034185959791925</v>
      </c>
      <c r="E77" s="24"/>
      <c r="F77" s="22" t="s">
        <v>16</v>
      </c>
      <c r="G77" s="117"/>
      <c r="H77" s="29" t="str">
        <f>IF(ABS(H76-E76-I76)&lt;1,"","ERROR")</f>
        <v/>
      </c>
      <c r="I77" s="30">
        <v>-1917.5</v>
      </c>
      <c r="J77" s="26"/>
      <c r="K77" s="111" t="s">
        <v>17</v>
      </c>
      <c r="L77" s="28">
        <f>(2*(100000+I78))-E76</f>
        <v>13982.279999999999</v>
      </c>
      <c r="M77" s="31"/>
      <c r="Q77" s="117"/>
      <c r="R77" s="117"/>
      <c r="S77" s="117"/>
      <c r="T77" s="116"/>
    </row>
    <row r="78" spans="1:20" s="114" customFormat="1" ht="15">
      <c r="A78" s="12" t="s">
        <v>54</v>
      </c>
      <c r="B78" s="22"/>
      <c r="C78" s="25">
        <f>L76-L48</f>
        <v>4104.699999999997</v>
      </c>
      <c r="D78" s="26">
        <f>C78/L48</f>
        <v>0.04071359232112306</v>
      </c>
      <c r="E78" s="24"/>
      <c r="F78" s="22" t="s">
        <v>18</v>
      </c>
      <c r="G78" s="117"/>
      <c r="H78" s="29"/>
      <c r="I78" s="30">
        <f>I76+I77</f>
        <v>4923.610000000007</v>
      </c>
      <c r="J78" s="26">
        <f>I78/100000</f>
        <v>0.04923610000000007</v>
      </c>
      <c r="K78" s="111" t="s">
        <v>19</v>
      </c>
      <c r="L78" s="26">
        <f>E76/(2*(100000+I78))</f>
        <v>0.9333692388205095</v>
      </c>
      <c r="M78" s="31"/>
      <c r="Q78" s="117"/>
      <c r="R78" s="117"/>
      <c r="S78" s="117"/>
      <c r="T78" s="116"/>
    </row>
    <row r="79" spans="2:20" s="114" customFormat="1" ht="15">
      <c r="B79" s="22"/>
      <c r="C79" s="25"/>
      <c r="D79" s="26"/>
      <c r="E79" s="24"/>
      <c r="F79" s="22"/>
      <c r="G79" s="117"/>
      <c r="H79" s="29"/>
      <c r="I79" s="30"/>
      <c r="J79" s="26"/>
      <c r="K79" s="111"/>
      <c r="L79" s="26"/>
      <c r="M79" s="31"/>
      <c r="Q79" s="117"/>
      <c r="R79" s="117"/>
      <c r="S79" s="117"/>
      <c r="T79" s="116"/>
    </row>
    <row r="80" spans="1:20" s="114" customFormat="1" ht="15">
      <c r="A80" s="12"/>
      <c r="B80" s="22"/>
      <c r="C80" s="25"/>
      <c r="D80" s="26"/>
      <c r="E80" s="24"/>
      <c r="F80" s="22"/>
      <c r="G80" s="117"/>
      <c r="H80" s="29"/>
      <c r="I80" s="30"/>
      <c r="J80" s="26"/>
      <c r="K80" s="111"/>
      <c r="L80" s="26"/>
      <c r="M80" s="31"/>
      <c r="Q80" s="117"/>
      <c r="R80" s="117"/>
      <c r="S80" s="117"/>
      <c r="T80" s="116"/>
    </row>
    <row r="81" spans="1:20" s="114" customFormat="1" ht="30.75" customHeight="1">
      <c r="A81" s="130" t="s">
        <v>62</v>
      </c>
      <c r="B81" s="384" t="s">
        <v>122</v>
      </c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92"/>
      <c r="P81" s="92"/>
      <c r="Q81" s="104"/>
      <c r="R81" s="104"/>
      <c r="S81" s="107"/>
      <c r="T81" s="109"/>
    </row>
    <row r="82" spans="1:22" s="114" customFormat="1" ht="15">
      <c r="A82" s="2" t="s">
        <v>0</v>
      </c>
      <c r="B82" s="3" t="s">
        <v>1</v>
      </c>
      <c r="C82" s="4" t="s">
        <v>2</v>
      </c>
      <c r="D82" s="5" t="s">
        <v>3</v>
      </c>
      <c r="E82" s="6" t="s">
        <v>4</v>
      </c>
      <c r="F82" s="3" t="s">
        <v>5</v>
      </c>
      <c r="G82" s="7" t="s">
        <v>2</v>
      </c>
      <c r="H82" s="6" t="s">
        <v>6</v>
      </c>
      <c r="I82" s="6" t="s">
        <v>7</v>
      </c>
      <c r="J82" s="8" t="s">
        <v>8</v>
      </c>
      <c r="K82" s="9" t="s">
        <v>9</v>
      </c>
      <c r="L82" s="10" t="s">
        <v>10</v>
      </c>
      <c r="M82" s="11" t="s">
        <v>11</v>
      </c>
      <c r="N82" s="103" t="s">
        <v>53</v>
      </c>
      <c r="O82" s="105" t="s">
        <v>110</v>
      </c>
      <c r="P82" s="106" t="s">
        <v>0</v>
      </c>
      <c r="Q82" s="117" t="s">
        <v>13</v>
      </c>
      <c r="R82" s="117" t="s">
        <v>70</v>
      </c>
      <c r="S82" s="111" t="s">
        <v>103</v>
      </c>
      <c r="T82" s="116" t="s">
        <v>107</v>
      </c>
      <c r="V82" s="9" t="s">
        <v>72</v>
      </c>
    </row>
    <row r="83" spans="1:22" s="114" customFormat="1" ht="15">
      <c r="A83" s="12" t="s">
        <v>92</v>
      </c>
      <c r="B83" s="65">
        <v>42010.447916666664</v>
      </c>
      <c r="C83" s="14">
        <v>111.9</v>
      </c>
      <c r="D83" s="15">
        <v>130</v>
      </c>
      <c r="E83" s="15">
        <f aca="true" t="shared" si="29" ref="E83:E102">C83*D83+11</f>
        <v>14558</v>
      </c>
      <c r="F83" s="13"/>
      <c r="G83" s="14">
        <v>116.95</v>
      </c>
      <c r="H83" s="15">
        <f aca="true" t="shared" si="30" ref="H83:H102">G83*D83</f>
        <v>15203.5</v>
      </c>
      <c r="I83" s="16">
        <f aca="true" t="shared" si="31" ref="I83:I102">H83-E83</f>
        <v>645.5</v>
      </c>
      <c r="J83" s="19">
        <f aca="true" t="shared" si="32" ref="J83">I83/E83</f>
        <v>0.044339881851902734</v>
      </c>
      <c r="K83" s="95" t="s">
        <v>93</v>
      </c>
      <c r="L83" s="97"/>
      <c r="M83" s="20">
        <f aca="true" t="shared" si="33" ref="M83:M102">C83*0.93</f>
        <v>104.06700000000001</v>
      </c>
      <c r="N83" s="118">
        <v>141.88</v>
      </c>
      <c r="O83" s="121">
        <f>WORKDAY(B84,40,V$3:V$13)</f>
        <v>42069</v>
      </c>
      <c r="P83" s="116" t="s">
        <v>92</v>
      </c>
      <c r="Q83" s="117"/>
      <c r="R83" s="118"/>
      <c r="S83" s="117">
        <f>1.11*C83</f>
        <v>124.20900000000002</v>
      </c>
      <c r="T83" s="116"/>
      <c r="V83" s="131">
        <v>42005</v>
      </c>
    </row>
    <row r="84" spans="1:22" s="114" customFormat="1" ht="15">
      <c r="A84" s="12" t="s">
        <v>92</v>
      </c>
      <c r="B84" s="65">
        <v>42011.34305555555</v>
      </c>
      <c r="C84" s="14">
        <v>114.4</v>
      </c>
      <c r="D84" s="15">
        <v>75</v>
      </c>
      <c r="E84" s="15">
        <f t="shared" si="29"/>
        <v>8591</v>
      </c>
      <c r="F84" s="13"/>
      <c r="G84" s="14">
        <v>116.95</v>
      </c>
      <c r="H84" s="15">
        <f t="shared" si="30"/>
        <v>8771.25</v>
      </c>
      <c r="I84" s="16">
        <f t="shared" si="31"/>
        <v>180.25</v>
      </c>
      <c r="J84" s="19">
        <f>I84/E84</f>
        <v>0.02098125945757188</v>
      </c>
      <c r="K84" s="95" t="s">
        <v>94</v>
      </c>
      <c r="L84" s="97"/>
      <c r="M84" s="20">
        <f t="shared" si="33"/>
        <v>106.39200000000001</v>
      </c>
      <c r="N84" s="118">
        <v>141.88</v>
      </c>
      <c r="O84" s="116"/>
      <c r="P84" s="116" t="s">
        <v>92</v>
      </c>
      <c r="Q84" s="117"/>
      <c r="R84" s="118"/>
      <c r="S84" s="117"/>
      <c r="T84" s="116"/>
      <c r="V84" s="131">
        <v>42023</v>
      </c>
    </row>
    <row r="85" spans="1:22" s="114" customFormat="1" ht="15">
      <c r="A85" s="12" t="s">
        <v>92</v>
      </c>
      <c r="B85" s="65">
        <v>42012.39513888889</v>
      </c>
      <c r="C85" s="14">
        <v>117.75</v>
      </c>
      <c r="D85" s="15">
        <v>50</v>
      </c>
      <c r="E85" s="15">
        <f t="shared" si="29"/>
        <v>5898.5</v>
      </c>
      <c r="F85" s="13"/>
      <c r="G85" s="14">
        <v>116.95</v>
      </c>
      <c r="H85" s="15">
        <f t="shared" si="30"/>
        <v>5847.5</v>
      </c>
      <c r="I85" s="16">
        <f t="shared" si="31"/>
        <v>-51</v>
      </c>
      <c r="J85" s="19">
        <f>I85/E85</f>
        <v>-0.008646265999830465</v>
      </c>
      <c r="K85" s="95" t="s">
        <v>95</v>
      </c>
      <c r="L85" s="97"/>
      <c r="M85" s="20">
        <f t="shared" si="33"/>
        <v>109.50750000000001</v>
      </c>
      <c r="N85" s="118">
        <v>141.88</v>
      </c>
      <c r="O85" s="116"/>
      <c r="P85" s="116" t="s">
        <v>92</v>
      </c>
      <c r="Q85" s="117"/>
      <c r="R85" s="118"/>
      <c r="S85" s="117"/>
      <c r="T85" s="116"/>
      <c r="V85" s="131">
        <v>42005</v>
      </c>
    </row>
    <row r="86" spans="1:22" s="114" customFormat="1" ht="15">
      <c r="A86" s="12" t="s">
        <v>64</v>
      </c>
      <c r="B86" s="65">
        <v>42011.27291666667</v>
      </c>
      <c r="C86" s="14">
        <v>70.75</v>
      </c>
      <c r="D86" s="15">
        <v>200</v>
      </c>
      <c r="E86" s="15">
        <f t="shared" si="29"/>
        <v>14161</v>
      </c>
      <c r="F86" s="13"/>
      <c r="G86" s="14">
        <v>83.05</v>
      </c>
      <c r="H86" s="15">
        <f t="shared" si="30"/>
        <v>16610</v>
      </c>
      <c r="I86" s="16">
        <f t="shared" si="31"/>
        <v>2449</v>
      </c>
      <c r="J86" s="19">
        <f aca="true" t="shared" si="34" ref="J86:J102">I86/E86</f>
        <v>0.1729397641409505</v>
      </c>
      <c r="K86" s="95" t="s">
        <v>74</v>
      </c>
      <c r="L86" s="97">
        <v>72.63</v>
      </c>
      <c r="M86" s="41">
        <f t="shared" si="33"/>
        <v>65.7975</v>
      </c>
      <c r="N86" s="118">
        <v>93.71</v>
      </c>
      <c r="O86" s="121">
        <f>WORKDAY(B88,40,V$3:V$13)</f>
        <v>42081</v>
      </c>
      <c r="P86" s="116" t="s">
        <v>79</v>
      </c>
      <c r="Q86" s="117">
        <v>84.95</v>
      </c>
      <c r="R86" s="118">
        <f>Q86*0.855</f>
        <v>72.63225</v>
      </c>
      <c r="S86" s="117">
        <f>1.11*C86</f>
        <v>78.53250000000001</v>
      </c>
      <c r="T86" s="116"/>
      <c r="V86" s="131">
        <v>42023</v>
      </c>
    </row>
    <row r="87" spans="1:22" s="114" customFormat="1" ht="15">
      <c r="A87" s="12" t="s">
        <v>64</v>
      </c>
      <c r="B87" s="65">
        <v>42012.27847222222</v>
      </c>
      <c r="C87" s="14">
        <v>72.34</v>
      </c>
      <c r="D87" s="15">
        <v>120</v>
      </c>
      <c r="E87" s="15">
        <f t="shared" si="29"/>
        <v>8691.800000000001</v>
      </c>
      <c r="F87" s="13"/>
      <c r="G87" s="14">
        <v>83.05</v>
      </c>
      <c r="H87" s="15">
        <f t="shared" si="30"/>
        <v>9966</v>
      </c>
      <c r="I87" s="16">
        <f t="shared" si="31"/>
        <v>1274.199999999999</v>
      </c>
      <c r="J87" s="19">
        <f t="shared" si="34"/>
        <v>0.14659794288869954</v>
      </c>
      <c r="K87" s="95" t="s">
        <v>117</v>
      </c>
      <c r="L87" s="97">
        <v>72.63</v>
      </c>
      <c r="M87" s="41">
        <f t="shared" si="33"/>
        <v>67.2762</v>
      </c>
      <c r="N87" s="118">
        <v>93.71</v>
      </c>
      <c r="O87" s="116"/>
      <c r="P87" s="116" t="s">
        <v>79</v>
      </c>
      <c r="Q87" s="117"/>
      <c r="R87" s="118"/>
      <c r="S87" s="117"/>
      <c r="T87" s="116"/>
      <c r="V87" s="131">
        <v>42051</v>
      </c>
    </row>
    <row r="88" spans="1:22" s="114" customFormat="1" ht="15">
      <c r="A88" s="12" t="s">
        <v>64</v>
      </c>
      <c r="B88" s="65">
        <v>42024.27291666667</v>
      </c>
      <c r="C88" s="14">
        <v>75.2</v>
      </c>
      <c r="D88" s="15">
        <v>80</v>
      </c>
      <c r="E88" s="15">
        <f t="shared" si="29"/>
        <v>6027</v>
      </c>
      <c r="F88" s="13"/>
      <c r="G88" s="14">
        <v>83.05</v>
      </c>
      <c r="H88" s="15">
        <f t="shared" si="30"/>
        <v>6644</v>
      </c>
      <c r="I88" s="16">
        <f t="shared" si="31"/>
        <v>617</v>
      </c>
      <c r="J88" s="19">
        <f t="shared" si="34"/>
        <v>0.10237265637962502</v>
      </c>
      <c r="K88" s="95" t="s">
        <v>116</v>
      </c>
      <c r="L88" s="97">
        <v>72.63</v>
      </c>
      <c r="M88" s="41">
        <f t="shared" si="33"/>
        <v>69.936</v>
      </c>
      <c r="N88" s="118">
        <v>93.71</v>
      </c>
      <c r="O88" s="116"/>
      <c r="P88" s="116" t="s">
        <v>79</v>
      </c>
      <c r="Q88" s="117"/>
      <c r="R88" s="118"/>
      <c r="S88" s="117"/>
      <c r="T88" s="116"/>
      <c r="V88" s="131">
        <v>42097</v>
      </c>
    </row>
    <row r="89" spans="1:22" s="114" customFormat="1" ht="15">
      <c r="A89" s="12" t="s">
        <v>80</v>
      </c>
      <c r="B89" s="65">
        <v>42011.30486111111</v>
      </c>
      <c r="C89" s="14">
        <v>58.02</v>
      </c>
      <c r="D89" s="15">
        <v>250</v>
      </c>
      <c r="E89" s="15">
        <f t="shared" si="29"/>
        <v>14516</v>
      </c>
      <c r="F89" s="13"/>
      <c r="G89" s="14">
        <v>60.35</v>
      </c>
      <c r="H89" s="15">
        <f t="shared" si="30"/>
        <v>15087.5</v>
      </c>
      <c r="I89" s="16">
        <f t="shared" si="31"/>
        <v>571.5</v>
      </c>
      <c r="J89" s="19">
        <f t="shared" si="34"/>
        <v>0.0393703499586663</v>
      </c>
      <c r="K89" s="95" t="s">
        <v>81</v>
      </c>
      <c r="L89" s="97"/>
      <c r="M89" s="20">
        <f t="shared" si="33"/>
        <v>53.958600000000004</v>
      </c>
      <c r="N89" s="118">
        <v>76.6</v>
      </c>
      <c r="O89" s="124"/>
      <c r="P89" s="116" t="s">
        <v>80</v>
      </c>
      <c r="Q89" s="117"/>
      <c r="R89" s="118"/>
      <c r="S89" s="117">
        <f>1.11*C89</f>
        <v>64.40220000000001</v>
      </c>
      <c r="T89" s="116"/>
      <c r="V89" s="131">
        <v>42149</v>
      </c>
    </row>
    <row r="90" spans="1:22" s="114" customFormat="1" ht="15">
      <c r="A90" s="12" t="s">
        <v>80</v>
      </c>
      <c r="B90" s="65">
        <v>42011.40694444445</v>
      </c>
      <c r="C90" s="14">
        <v>59.16</v>
      </c>
      <c r="D90" s="15">
        <v>150</v>
      </c>
      <c r="E90" s="15">
        <f t="shared" si="29"/>
        <v>8885</v>
      </c>
      <c r="F90" s="13"/>
      <c r="G90" s="14">
        <v>60.35</v>
      </c>
      <c r="H90" s="15">
        <f t="shared" si="30"/>
        <v>9052.5</v>
      </c>
      <c r="I90" s="16">
        <f t="shared" si="31"/>
        <v>167.5</v>
      </c>
      <c r="J90" s="122">
        <f t="shared" si="34"/>
        <v>0.018851997749015192</v>
      </c>
      <c r="K90" s="95" t="s">
        <v>82</v>
      </c>
      <c r="L90" s="119"/>
      <c r="M90" s="20">
        <f t="shared" si="33"/>
        <v>55.0188</v>
      </c>
      <c r="N90" s="118">
        <v>77.93</v>
      </c>
      <c r="O90" s="116"/>
      <c r="P90" s="116" t="s">
        <v>80</v>
      </c>
      <c r="Q90" s="117"/>
      <c r="R90" s="118"/>
      <c r="S90" s="117"/>
      <c r="T90" s="116"/>
      <c r="V90" s="131">
        <v>42188</v>
      </c>
    </row>
    <row r="91" spans="1:22" s="114" customFormat="1" ht="15">
      <c r="A91" s="12" t="s">
        <v>80</v>
      </c>
      <c r="B91" s="65">
        <v>42012.29305555556</v>
      </c>
      <c r="C91" s="14">
        <v>60.3</v>
      </c>
      <c r="D91" s="15">
        <v>100</v>
      </c>
      <c r="E91" s="15">
        <f t="shared" si="29"/>
        <v>6041</v>
      </c>
      <c r="F91" s="13"/>
      <c r="G91" s="14">
        <v>60.35</v>
      </c>
      <c r="H91" s="15">
        <f t="shared" si="30"/>
        <v>6035</v>
      </c>
      <c r="I91" s="16">
        <f t="shared" si="31"/>
        <v>-6</v>
      </c>
      <c r="J91" s="19">
        <f t="shared" si="34"/>
        <v>-0.0009932130441979805</v>
      </c>
      <c r="K91" s="95" t="s">
        <v>83</v>
      </c>
      <c r="L91" s="119"/>
      <c r="M91" s="20">
        <f t="shared" si="33"/>
        <v>56.079</v>
      </c>
      <c r="N91" s="118">
        <v>77.93</v>
      </c>
      <c r="O91" s="116"/>
      <c r="P91" s="116" t="s">
        <v>80</v>
      </c>
      <c r="Q91" s="117"/>
      <c r="R91" s="118"/>
      <c r="S91" s="117"/>
      <c r="T91" s="116"/>
      <c r="V91" s="131">
        <v>42254</v>
      </c>
    </row>
    <row r="92" spans="1:22" s="114" customFormat="1" ht="15">
      <c r="A92" s="12" t="s">
        <v>50</v>
      </c>
      <c r="B92" s="65">
        <v>42011.50555555556</v>
      </c>
      <c r="C92" s="14">
        <v>691</v>
      </c>
      <c r="D92" s="15">
        <v>20</v>
      </c>
      <c r="E92" s="15">
        <f t="shared" si="29"/>
        <v>13831</v>
      </c>
      <c r="F92" s="13"/>
      <c r="G92" s="14">
        <v>709.84</v>
      </c>
      <c r="H92" s="15">
        <f t="shared" si="30"/>
        <v>14196.800000000001</v>
      </c>
      <c r="I92" s="16">
        <f t="shared" si="31"/>
        <v>365.8000000000011</v>
      </c>
      <c r="J92" s="19">
        <f t="shared" si="34"/>
        <v>0.026447834574506623</v>
      </c>
      <c r="K92" s="95" t="s">
        <v>89</v>
      </c>
      <c r="L92" s="119"/>
      <c r="M92" s="20">
        <f t="shared" si="33"/>
        <v>642.63</v>
      </c>
      <c r="N92" s="118">
        <v>873</v>
      </c>
      <c r="O92" s="121">
        <f>WORKDAY(B93,40,V$3:V$13)</f>
        <v>42072</v>
      </c>
      <c r="P92" s="116" t="s">
        <v>50</v>
      </c>
      <c r="Q92" s="117"/>
      <c r="R92" s="118"/>
      <c r="S92" s="117">
        <f>1.11*C92</f>
        <v>767.0100000000001</v>
      </c>
      <c r="T92" s="116"/>
      <c r="V92" s="131">
        <v>42334</v>
      </c>
    </row>
    <row r="93" spans="1:22" s="114" customFormat="1" ht="15">
      <c r="A93" s="12" t="s">
        <v>50</v>
      </c>
      <c r="B93" s="65">
        <v>42012.27291666667</v>
      </c>
      <c r="C93" s="14">
        <v>707.47</v>
      </c>
      <c r="D93" s="15">
        <v>12</v>
      </c>
      <c r="E93" s="15">
        <f t="shared" si="29"/>
        <v>8500.64</v>
      </c>
      <c r="F93" s="13"/>
      <c r="G93" s="14">
        <v>709.84</v>
      </c>
      <c r="H93" s="15">
        <f t="shared" si="30"/>
        <v>8518.08</v>
      </c>
      <c r="I93" s="16">
        <f t="shared" si="31"/>
        <v>17.44000000000051</v>
      </c>
      <c r="J93" s="19">
        <f t="shared" si="34"/>
        <v>0.0020516102317002616</v>
      </c>
      <c r="K93" s="95" t="s">
        <v>90</v>
      </c>
      <c r="L93" s="119"/>
      <c r="M93" s="20">
        <f t="shared" si="33"/>
        <v>657.9471000000001</v>
      </c>
      <c r="N93" s="118">
        <v>873</v>
      </c>
      <c r="O93" s="116"/>
      <c r="P93" s="116" t="s">
        <v>50</v>
      </c>
      <c r="Q93" s="117"/>
      <c r="R93" s="118"/>
      <c r="S93" s="117"/>
      <c r="T93" s="116"/>
      <c r="V93" s="131">
        <v>42363</v>
      </c>
    </row>
    <row r="94" spans="1:20" s="114" customFormat="1" ht="15">
      <c r="A94" s="12" t="s">
        <v>50</v>
      </c>
      <c r="B94" s="65">
        <v>42012.28472222222</v>
      </c>
      <c r="C94" s="14">
        <v>722.5</v>
      </c>
      <c r="D94" s="15">
        <v>8</v>
      </c>
      <c r="E94" s="15">
        <f t="shared" si="29"/>
        <v>5791</v>
      </c>
      <c r="F94" s="13"/>
      <c r="G94" s="14">
        <v>709.84</v>
      </c>
      <c r="H94" s="15">
        <f t="shared" si="30"/>
        <v>5678.72</v>
      </c>
      <c r="I94" s="16">
        <f t="shared" si="31"/>
        <v>-112.27999999999975</v>
      </c>
      <c r="J94" s="19">
        <f t="shared" si="34"/>
        <v>-0.019388706613710886</v>
      </c>
      <c r="K94" s="95" t="s">
        <v>91</v>
      </c>
      <c r="L94" s="119"/>
      <c r="M94" s="20">
        <f t="shared" si="33"/>
        <v>671.9250000000001</v>
      </c>
      <c r="N94" s="118">
        <v>873</v>
      </c>
      <c r="O94" s="116"/>
      <c r="P94" s="116" t="s">
        <v>50</v>
      </c>
      <c r="Q94" s="117"/>
      <c r="R94" s="118"/>
      <c r="S94" s="117"/>
      <c r="T94" s="116"/>
    </row>
    <row r="95" spans="1:20" s="114" customFormat="1" ht="15">
      <c r="A95" s="12" t="s">
        <v>60</v>
      </c>
      <c r="B95" s="65">
        <v>42012.27569444444</v>
      </c>
      <c r="C95" s="14">
        <v>75.9</v>
      </c>
      <c r="D95" s="15">
        <v>190</v>
      </c>
      <c r="E95" s="15">
        <f t="shared" si="29"/>
        <v>14432.000000000002</v>
      </c>
      <c r="F95" s="13"/>
      <c r="G95" s="14">
        <v>79.34</v>
      </c>
      <c r="H95" s="15">
        <f t="shared" si="30"/>
        <v>15074.6</v>
      </c>
      <c r="I95" s="16">
        <f t="shared" si="31"/>
        <v>642.5999999999985</v>
      </c>
      <c r="J95" s="19">
        <f t="shared" si="34"/>
        <v>0.0445260532150775</v>
      </c>
      <c r="K95" s="95" t="s">
        <v>86</v>
      </c>
      <c r="L95" s="119"/>
      <c r="M95" s="20">
        <f t="shared" si="33"/>
        <v>70.587</v>
      </c>
      <c r="N95" s="118">
        <v>97.93</v>
      </c>
      <c r="O95" s="121">
        <f>WORKDAY(B97,40,V$3:V$13)</f>
        <v>42073</v>
      </c>
      <c r="P95" s="116" t="s">
        <v>60</v>
      </c>
      <c r="Q95" s="117"/>
      <c r="R95" s="118"/>
      <c r="S95" s="117">
        <f>1.11*C95</f>
        <v>84.24900000000001</v>
      </c>
      <c r="T95" s="116"/>
    </row>
    <row r="96" spans="1:20" s="114" customFormat="1" ht="15">
      <c r="A96" s="12" t="s">
        <v>60</v>
      </c>
      <c r="B96" s="65">
        <v>42012.520833333336</v>
      </c>
      <c r="C96" s="14">
        <v>78</v>
      </c>
      <c r="D96" s="15">
        <v>110</v>
      </c>
      <c r="E96" s="15">
        <f t="shared" si="29"/>
        <v>8591</v>
      </c>
      <c r="F96" s="13"/>
      <c r="G96" s="14">
        <v>79.34</v>
      </c>
      <c r="H96" s="15">
        <f t="shared" si="30"/>
        <v>8727.4</v>
      </c>
      <c r="I96" s="16">
        <f t="shared" si="31"/>
        <v>136.39999999999964</v>
      </c>
      <c r="J96" s="19">
        <f t="shared" si="34"/>
        <v>0.015877080665813018</v>
      </c>
      <c r="K96" s="95" t="s">
        <v>87</v>
      </c>
      <c r="L96" s="119"/>
      <c r="M96" s="20">
        <f t="shared" si="33"/>
        <v>72.54</v>
      </c>
      <c r="N96" s="118">
        <v>97.93</v>
      </c>
      <c r="P96" s="116" t="s">
        <v>60</v>
      </c>
      <c r="Q96" s="117"/>
      <c r="R96" s="118"/>
      <c r="S96" s="117"/>
      <c r="T96" s="116"/>
    </row>
    <row r="97" spans="1:20" s="114" customFormat="1" ht="15">
      <c r="A97" s="12" t="s">
        <v>60</v>
      </c>
      <c r="B97" s="65">
        <v>42013.274305555555</v>
      </c>
      <c r="C97" s="14">
        <v>79.2</v>
      </c>
      <c r="D97" s="15">
        <v>70</v>
      </c>
      <c r="E97" s="15">
        <f t="shared" si="29"/>
        <v>5555</v>
      </c>
      <c r="F97" s="13"/>
      <c r="G97" s="14">
        <v>79.34</v>
      </c>
      <c r="H97" s="15">
        <f t="shared" si="30"/>
        <v>5553.8</v>
      </c>
      <c r="I97" s="16">
        <f t="shared" si="31"/>
        <v>-1.199999999999818</v>
      </c>
      <c r="J97" s="19">
        <f t="shared" si="34"/>
        <v>-0.00021602160216018329</v>
      </c>
      <c r="K97" s="95" t="s">
        <v>88</v>
      </c>
      <c r="L97" s="119"/>
      <c r="M97" s="20">
        <f t="shared" si="33"/>
        <v>73.656</v>
      </c>
      <c r="N97" s="118">
        <v>97.93</v>
      </c>
      <c r="O97" s="116"/>
      <c r="P97" s="116" t="s">
        <v>60</v>
      </c>
      <c r="Q97" s="117"/>
      <c r="R97" s="118"/>
      <c r="S97" s="117"/>
      <c r="T97" s="116"/>
    </row>
    <row r="98" spans="1:20" s="114" customFormat="1" ht="15">
      <c r="A98" s="12" t="s">
        <v>73</v>
      </c>
      <c r="B98" s="65">
        <v>42017.27847222222</v>
      </c>
      <c r="C98" s="14">
        <v>21.2</v>
      </c>
      <c r="D98" s="15">
        <v>680</v>
      </c>
      <c r="E98" s="15">
        <f t="shared" si="29"/>
        <v>14427</v>
      </c>
      <c r="F98" s="13"/>
      <c r="G98" s="14">
        <v>23.23</v>
      </c>
      <c r="H98" s="15">
        <f t="shared" si="30"/>
        <v>15796.4</v>
      </c>
      <c r="I98" s="16">
        <f t="shared" si="31"/>
        <v>1369.3999999999996</v>
      </c>
      <c r="J98" s="19">
        <f t="shared" si="34"/>
        <v>0.094919248631039</v>
      </c>
      <c r="K98" s="95" t="s">
        <v>111</v>
      </c>
      <c r="L98" s="119">
        <v>20.67</v>
      </c>
      <c r="M98" s="41">
        <f t="shared" si="33"/>
        <v>19.716</v>
      </c>
      <c r="N98" s="118">
        <v>26.43</v>
      </c>
      <c r="O98" s="121">
        <f>WORKDAY(B98,40,V$3:V$13)</f>
        <v>42075</v>
      </c>
      <c r="P98" s="116" t="s">
        <v>73</v>
      </c>
      <c r="Q98" s="117">
        <v>24.17</v>
      </c>
      <c r="R98" s="118">
        <f>Q98*0.855</f>
        <v>20.66535</v>
      </c>
      <c r="S98" s="117">
        <f>1.11*C98</f>
        <v>23.532</v>
      </c>
      <c r="T98" s="116"/>
    </row>
    <row r="99" spans="1:20" s="114" customFormat="1" ht="15">
      <c r="A99" s="12" t="s">
        <v>73</v>
      </c>
      <c r="B99" s="65">
        <v>42020.5375</v>
      </c>
      <c r="C99" s="14">
        <v>21.73</v>
      </c>
      <c r="D99" s="15">
        <v>400</v>
      </c>
      <c r="E99" s="15">
        <f t="shared" si="29"/>
        <v>8703</v>
      </c>
      <c r="F99" s="13"/>
      <c r="G99" s="14">
        <v>23.23</v>
      </c>
      <c r="H99" s="15">
        <f t="shared" si="30"/>
        <v>9292</v>
      </c>
      <c r="I99" s="16">
        <f t="shared" si="31"/>
        <v>589</v>
      </c>
      <c r="J99" s="19">
        <f t="shared" si="34"/>
        <v>0.0676778122486499</v>
      </c>
      <c r="K99" s="95" t="s">
        <v>119</v>
      </c>
      <c r="L99" s="119">
        <v>20.67</v>
      </c>
      <c r="M99" s="41">
        <f t="shared" si="33"/>
        <v>20.2089</v>
      </c>
      <c r="N99" s="118">
        <v>26.43</v>
      </c>
      <c r="O99" s="116"/>
      <c r="P99" s="116" t="s">
        <v>73</v>
      </c>
      <c r="Q99" s="117"/>
      <c r="R99" s="118"/>
      <c r="S99" s="117"/>
      <c r="T99" s="116"/>
    </row>
    <row r="100" spans="1:20" s="114" customFormat="1" ht="15">
      <c r="A100" s="12" t="s">
        <v>73</v>
      </c>
      <c r="B100" s="65">
        <v>42024.39791666667</v>
      </c>
      <c r="C100" s="14">
        <v>22.2</v>
      </c>
      <c r="D100" s="15">
        <v>260</v>
      </c>
      <c r="E100" s="15">
        <f t="shared" si="29"/>
        <v>5783</v>
      </c>
      <c r="F100" s="13"/>
      <c r="G100" s="14">
        <v>23.23</v>
      </c>
      <c r="H100" s="15">
        <f t="shared" si="30"/>
        <v>6039.8</v>
      </c>
      <c r="I100" s="16">
        <f t="shared" si="31"/>
        <v>256.8000000000002</v>
      </c>
      <c r="J100" s="19">
        <f t="shared" si="34"/>
        <v>0.044406017637904235</v>
      </c>
      <c r="K100" s="95" t="s">
        <v>118</v>
      </c>
      <c r="L100" s="119">
        <v>20.67</v>
      </c>
      <c r="M100" s="41">
        <f t="shared" si="33"/>
        <v>20.646</v>
      </c>
      <c r="N100" s="118">
        <v>26.43</v>
      </c>
      <c r="O100" s="116"/>
      <c r="P100" s="116" t="s">
        <v>73</v>
      </c>
      <c r="Q100" s="117"/>
      <c r="R100" s="118"/>
      <c r="S100" s="117"/>
      <c r="T100" s="116"/>
    </row>
    <row r="101" spans="1:20" s="114" customFormat="1" ht="15">
      <c r="A101" s="12" t="s">
        <v>58</v>
      </c>
      <c r="B101" s="65">
        <v>42020.27291666667</v>
      </c>
      <c r="C101" s="14">
        <v>40.8</v>
      </c>
      <c r="D101" s="15">
        <v>350</v>
      </c>
      <c r="E101" s="15">
        <f t="shared" si="29"/>
        <v>14290.999999999998</v>
      </c>
      <c r="F101" s="13"/>
      <c r="G101" s="14">
        <v>42.58</v>
      </c>
      <c r="H101" s="15">
        <f t="shared" si="30"/>
        <v>14903</v>
      </c>
      <c r="I101" s="16">
        <f t="shared" si="31"/>
        <v>612.0000000000018</v>
      </c>
      <c r="J101" s="19">
        <f t="shared" si="34"/>
        <v>0.04282415506262696</v>
      </c>
      <c r="K101" s="95" t="s">
        <v>120</v>
      </c>
      <c r="L101" s="119"/>
      <c r="M101" s="20">
        <f t="shared" si="33"/>
        <v>37.944</v>
      </c>
      <c r="N101" s="118">
        <v>56.56</v>
      </c>
      <c r="O101" s="116"/>
      <c r="P101" s="116" t="s">
        <v>58</v>
      </c>
      <c r="Q101" s="117"/>
      <c r="R101" s="118"/>
      <c r="S101" s="117">
        <f>1.11*C101</f>
        <v>45.288000000000004</v>
      </c>
      <c r="T101" s="116"/>
    </row>
    <row r="102" spans="1:20" s="114" customFormat="1" ht="15">
      <c r="A102" s="12" t="s">
        <v>58</v>
      </c>
      <c r="B102" s="65">
        <v>42024.35486111111</v>
      </c>
      <c r="C102" s="14">
        <v>42.9</v>
      </c>
      <c r="D102" s="15">
        <v>200</v>
      </c>
      <c r="E102" s="15">
        <f t="shared" si="29"/>
        <v>8591</v>
      </c>
      <c r="F102" s="13"/>
      <c r="G102" s="14">
        <v>42.58</v>
      </c>
      <c r="H102" s="15">
        <f t="shared" si="30"/>
        <v>8516</v>
      </c>
      <c r="I102" s="16">
        <f t="shared" si="31"/>
        <v>-75</v>
      </c>
      <c r="J102" s="19">
        <f t="shared" si="34"/>
        <v>-0.008730066348504248</v>
      </c>
      <c r="K102" s="95" t="s">
        <v>129</v>
      </c>
      <c r="L102" s="119"/>
      <c r="M102" s="20">
        <f t="shared" si="33"/>
        <v>39.897</v>
      </c>
      <c r="N102" s="118">
        <v>56.56</v>
      </c>
      <c r="O102" s="116"/>
      <c r="P102" s="116" t="s">
        <v>58</v>
      </c>
      <c r="Q102" s="117"/>
      <c r="R102" s="118"/>
      <c r="S102" s="117"/>
      <c r="T102" s="116"/>
    </row>
    <row r="103" spans="1:20" s="114" customFormat="1" ht="15">
      <c r="A103" s="12"/>
      <c r="B103" s="13"/>
      <c r="C103" s="14"/>
      <c r="D103" s="15"/>
      <c r="E103" s="15"/>
      <c r="F103" s="13"/>
      <c r="G103" s="14"/>
      <c r="H103" s="15"/>
      <c r="I103" s="16"/>
      <c r="J103" s="19"/>
      <c r="K103" s="95"/>
      <c r="L103" s="119"/>
      <c r="M103" s="32"/>
      <c r="N103" s="118"/>
      <c r="Q103" s="117"/>
      <c r="R103" s="117"/>
      <c r="S103" s="117"/>
      <c r="T103" s="116"/>
    </row>
    <row r="104" spans="1:20" s="114" customFormat="1" ht="15">
      <c r="A104" s="21" t="s">
        <v>14</v>
      </c>
      <c r="B104" s="22"/>
      <c r="C104" s="23"/>
      <c r="D104" s="24"/>
      <c r="E104" s="24">
        <f>SUM(E83:E103)</f>
        <v>195864.94</v>
      </c>
      <c r="F104" s="22"/>
      <c r="G104" s="23"/>
      <c r="H104" s="24">
        <f>SUM(H83:H103)</f>
        <v>205513.84999999998</v>
      </c>
      <c r="I104" s="25">
        <f>SUM(I83:I103)</f>
        <v>9648.910000000002</v>
      </c>
      <c r="J104" s="26">
        <f>I104/E104</f>
        <v>0.04926307893592392</v>
      </c>
      <c r="K104" s="27" t="s">
        <v>15</v>
      </c>
      <c r="L104" s="28">
        <f>100000+I106</f>
        <v>107731.41</v>
      </c>
      <c r="M104" s="81"/>
      <c r="N104" s="89"/>
      <c r="Q104" s="117"/>
      <c r="R104" s="117"/>
      <c r="S104" s="117"/>
      <c r="T104" s="116"/>
    </row>
    <row r="105" spans="1:20" s="114" customFormat="1" ht="15">
      <c r="A105" s="12" t="s">
        <v>67</v>
      </c>
      <c r="B105" s="22"/>
      <c r="C105" s="25">
        <f>I106-I78</f>
        <v>2807.7999999999947</v>
      </c>
      <c r="D105" s="26">
        <f>C105/H76</f>
        <v>0.013851584597499652</v>
      </c>
      <c r="E105" s="24"/>
      <c r="F105" s="22" t="s">
        <v>16</v>
      </c>
      <c r="G105" s="117"/>
      <c r="H105" s="29" t="str">
        <f>IF(ABS(H104-E104-I104)&lt;1,"","ERROR")</f>
        <v/>
      </c>
      <c r="I105" s="30">
        <v>-1917.5</v>
      </c>
      <c r="J105" s="26"/>
      <c r="K105" s="111" t="s">
        <v>17</v>
      </c>
      <c r="L105" s="28">
        <f>(2*(100000+I106))-E104</f>
        <v>19597.880000000005</v>
      </c>
      <c r="M105" s="31"/>
      <c r="Q105" s="117"/>
      <c r="R105" s="117"/>
      <c r="S105" s="117"/>
      <c r="T105" s="116"/>
    </row>
    <row r="106" spans="1:20" s="114" customFormat="1" ht="15">
      <c r="A106" s="12" t="s">
        <v>54</v>
      </c>
      <c r="B106" s="22"/>
      <c r="C106" s="25">
        <f>L104-L76</f>
        <v>2807.800000000003</v>
      </c>
      <c r="D106" s="26">
        <f>C106/L76</f>
        <v>0.026760421224546152</v>
      </c>
      <c r="E106" s="24"/>
      <c r="F106" s="22" t="s">
        <v>18</v>
      </c>
      <c r="G106" s="117"/>
      <c r="H106" s="29"/>
      <c r="I106" s="30">
        <f>I104+I105</f>
        <v>7731.410000000002</v>
      </c>
      <c r="J106" s="26">
        <f>I106/100000</f>
        <v>0.07731410000000001</v>
      </c>
      <c r="K106" s="111" t="s">
        <v>19</v>
      </c>
      <c r="L106" s="26">
        <f>E104/(2*(100000+I106))</f>
        <v>0.9090428687418088</v>
      </c>
      <c r="M106" s="31"/>
      <c r="Q106" s="117"/>
      <c r="R106" s="117"/>
      <c r="S106" s="117"/>
      <c r="T106" s="116"/>
    </row>
    <row r="107" spans="2:20" s="114" customFormat="1" ht="15">
      <c r="B107" s="22"/>
      <c r="C107" s="25"/>
      <c r="D107" s="26"/>
      <c r="E107" s="24"/>
      <c r="F107" s="22"/>
      <c r="G107" s="117"/>
      <c r="H107" s="29"/>
      <c r="I107" s="30"/>
      <c r="J107" s="26"/>
      <c r="K107" s="111"/>
      <c r="L107" s="26"/>
      <c r="M107" s="31"/>
      <c r="Q107" s="117"/>
      <c r="R107" s="117"/>
      <c r="S107" s="117"/>
      <c r="T107" s="116"/>
    </row>
    <row r="108" spans="1:20" s="114" customFormat="1" ht="15">
      <c r="A108" s="12"/>
      <c r="B108" s="22"/>
      <c r="C108" s="25"/>
      <c r="D108" s="26"/>
      <c r="E108" s="24"/>
      <c r="F108" s="22"/>
      <c r="G108" s="117"/>
      <c r="H108" s="29"/>
      <c r="I108" s="30"/>
      <c r="J108" s="26"/>
      <c r="K108" s="111"/>
      <c r="L108" s="26"/>
      <c r="M108" s="31"/>
      <c r="Q108" s="117"/>
      <c r="R108" s="117"/>
      <c r="S108" s="117"/>
      <c r="T108" s="116"/>
    </row>
    <row r="109" spans="1:20" s="114" customFormat="1" ht="30.75" customHeight="1">
      <c r="A109" s="130" t="s">
        <v>62</v>
      </c>
      <c r="B109" s="384" t="s">
        <v>123</v>
      </c>
      <c r="C109" s="384"/>
      <c r="D109" s="384"/>
      <c r="E109" s="384"/>
      <c r="F109" s="384"/>
      <c r="G109" s="384"/>
      <c r="H109" s="384"/>
      <c r="I109" s="384"/>
      <c r="J109" s="384"/>
      <c r="K109" s="384"/>
      <c r="L109" s="384"/>
      <c r="M109" s="384"/>
      <c r="N109" s="384"/>
      <c r="O109" s="92"/>
      <c r="P109" s="92"/>
      <c r="Q109" s="104"/>
      <c r="R109" s="104"/>
      <c r="S109" s="107"/>
      <c r="T109" s="109"/>
    </row>
    <row r="110" spans="1:22" s="114" customFormat="1" ht="15">
      <c r="A110" s="2" t="s">
        <v>0</v>
      </c>
      <c r="B110" s="3" t="s">
        <v>1</v>
      </c>
      <c r="C110" s="4" t="s">
        <v>2</v>
      </c>
      <c r="D110" s="5" t="s">
        <v>3</v>
      </c>
      <c r="E110" s="6" t="s">
        <v>4</v>
      </c>
      <c r="F110" s="3" t="s">
        <v>5</v>
      </c>
      <c r="G110" s="7" t="s">
        <v>2</v>
      </c>
      <c r="H110" s="6" t="s">
        <v>6</v>
      </c>
      <c r="I110" s="6" t="s">
        <v>7</v>
      </c>
      <c r="J110" s="8" t="s">
        <v>8</v>
      </c>
      <c r="K110" s="9" t="s">
        <v>9</v>
      </c>
      <c r="L110" s="10" t="s">
        <v>10</v>
      </c>
      <c r="M110" s="11" t="s">
        <v>11</v>
      </c>
      <c r="N110" s="103" t="s">
        <v>53</v>
      </c>
      <c r="O110" s="105" t="s">
        <v>110</v>
      </c>
      <c r="P110" s="106" t="s">
        <v>0</v>
      </c>
      <c r="Q110" s="117" t="s">
        <v>13</v>
      </c>
      <c r="R110" s="117" t="s">
        <v>70</v>
      </c>
      <c r="S110" s="111" t="s">
        <v>103</v>
      </c>
      <c r="T110" s="116" t="s">
        <v>107</v>
      </c>
      <c r="V110" s="9" t="s">
        <v>72</v>
      </c>
    </row>
    <row r="111" spans="1:22" s="114" customFormat="1" ht="15">
      <c r="A111" s="12" t="s">
        <v>92</v>
      </c>
      <c r="B111" s="65">
        <v>42010.447916666664</v>
      </c>
      <c r="C111" s="14">
        <v>111.9</v>
      </c>
      <c r="D111" s="15">
        <v>130</v>
      </c>
      <c r="E111" s="15">
        <f aca="true" t="shared" si="35" ref="E111:E129">C111*D111+11</f>
        <v>14558</v>
      </c>
      <c r="F111" s="13"/>
      <c r="G111" s="14">
        <v>117.15</v>
      </c>
      <c r="H111" s="15">
        <f aca="true" t="shared" si="36" ref="H111:H129">G111*D111</f>
        <v>15229.5</v>
      </c>
      <c r="I111" s="16">
        <f aca="true" t="shared" si="37" ref="I111:I129">H111-E111</f>
        <v>671.5</v>
      </c>
      <c r="J111" s="19">
        <f aca="true" t="shared" si="38" ref="J111">I111/E111</f>
        <v>0.04612584146173925</v>
      </c>
      <c r="K111" s="95" t="s">
        <v>93</v>
      </c>
      <c r="L111" s="97"/>
      <c r="M111" s="20">
        <f aca="true" t="shared" si="39" ref="M111:M129">C111*0.93</f>
        <v>104.06700000000001</v>
      </c>
      <c r="N111" s="118">
        <v>141.88</v>
      </c>
      <c r="O111" s="121">
        <f>WORKDAY(B112,40,'Weekly Summary'!P$2:P$10)</f>
        <v>42069</v>
      </c>
      <c r="P111" s="116" t="s">
        <v>92</v>
      </c>
      <c r="Q111" s="117"/>
      <c r="R111" s="118"/>
      <c r="S111" s="117">
        <f>1.11*C111</f>
        <v>124.20900000000002</v>
      </c>
      <c r="T111" s="116"/>
      <c r="V111" s="131">
        <v>42005</v>
      </c>
    </row>
    <row r="112" spans="1:22" s="114" customFormat="1" ht="15">
      <c r="A112" s="12" t="s">
        <v>92</v>
      </c>
      <c r="B112" s="65">
        <v>42011.34305555555</v>
      </c>
      <c r="C112" s="14">
        <v>114.4</v>
      </c>
      <c r="D112" s="15">
        <v>75</v>
      </c>
      <c r="E112" s="15">
        <f t="shared" si="35"/>
        <v>8591</v>
      </c>
      <c r="F112" s="13"/>
      <c r="G112" s="14">
        <v>117.15</v>
      </c>
      <c r="H112" s="15">
        <f t="shared" si="36"/>
        <v>8786.25</v>
      </c>
      <c r="I112" s="16">
        <f t="shared" si="37"/>
        <v>195.25</v>
      </c>
      <c r="J112" s="19">
        <f>I112/E112</f>
        <v>0.022727272727272728</v>
      </c>
      <c r="K112" s="95" t="s">
        <v>94</v>
      </c>
      <c r="L112" s="97"/>
      <c r="M112" s="20">
        <f t="shared" si="39"/>
        <v>106.39200000000001</v>
      </c>
      <c r="N112" s="118">
        <v>141.88</v>
      </c>
      <c r="O112" s="116"/>
      <c r="P112" s="116" t="s">
        <v>92</v>
      </c>
      <c r="Q112" s="117"/>
      <c r="R112" s="118"/>
      <c r="S112" s="117"/>
      <c r="T112" s="116"/>
      <c r="V112" s="131">
        <v>42023</v>
      </c>
    </row>
    <row r="113" spans="1:22" s="114" customFormat="1" ht="15">
      <c r="A113" s="12" t="s">
        <v>92</v>
      </c>
      <c r="B113" s="65">
        <v>42012.39513888889</v>
      </c>
      <c r="C113" s="14">
        <v>117.75</v>
      </c>
      <c r="D113" s="15">
        <v>50</v>
      </c>
      <c r="E113" s="15">
        <f t="shared" si="35"/>
        <v>5898.5</v>
      </c>
      <c r="F113" s="29"/>
      <c r="G113" s="14">
        <v>117.15</v>
      </c>
      <c r="H113" s="15">
        <f t="shared" si="36"/>
        <v>5857.5</v>
      </c>
      <c r="I113" s="16">
        <f t="shared" si="37"/>
        <v>-41</v>
      </c>
      <c r="J113" s="19">
        <f>I113/E113</f>
        <v>-0.0069509197253539035</v>
      </c>
      <c r="K113" s="95" t="s">
        <v>95</v>
      </c>
      <c r="L113" s="97"/>
      <c r="M113" s="20">
        <f t="shared" si="39"/>
        <v>109.50750000000001</v>
      </c>
      <c r="N113" s="118">
        <v>141.88</v>
      </c>
      <c r="O113" s="116"/>
      <c r="P113" s="116" t="s">
        <v>92</v>
      </c>
      <c r="Q113" s="117"/>
      <c r="R113" s="118"/>
      <c r="S113" s="117"/>
      <c r="T113" s="116"/>
      <c r="V113" s="131">
        <v>42005</v>
      </c>
    </row>
    <row r="114" spans="1:22" s="114" customFormat="1" ht="15">
      <c r="A114" s="12" t="s">
        <v>64</v>
      </c>
      <c r="B114" s="65">
        <v>42011.27291666667</v>
      </c>
      <c r="C114" s="14">
        <v>70.75</v>
      </c>
      <c r="D114" s="15">
        <v>200</v>
      </c>
      <c r="E114" s="15">
        <f t="shared" si="35"/>
        <v>14161</v>
      </c>
      <c r="F114" s="13"/>
      <c r="G114" s="14">
        <v>81.44</v>
      </c>
      <c r="H114" s="15">
        <f t="shared" si="36"/>
        <v>16288</v>
      </c>
      <c r="I114" s="16">
        <f t="shared" si="37"/>
        <v>2127</v>
      </c>
      <c r="J114" s="19">
        <f aca="true" t="shared" si="40" ref="J114:J129">I114/E114</f>
        <v>0.15020125697337758</v>
      </c>
      <c r="K114" s="95" t="s">
        <v>74</v>
      </c>
      <c r="L114" s="97">
        <v>72.63</v>
      </c>
      <c r="M114" s="41">
        <f t="shared" si="39"/>
        <v>65.7975</v>
      </c>
      <c r="N114" s="118">
        <v>93.71</v>
      </c>
      <c r="O114" s="121">
        <f>WORKDAY(B116,40,'Weekly Summary'!P$2:P$10)</f>
        <v>42081</v>
      </c>
      <c r="P114" s="116" t="s">
        <v>79</v>
      </c>
      <c r="Q114" s="117">
        <v>84.95</v>
      </c>
      <c r="R114" s="118">
        <f>Q114*0.855</f>
        <v>72.63225</v>
      </c>
      <c r="S114" s="117">
        <f>1.11*C114</f>
        <v>78.53250000000001</v>
      </c>
      <c r="T114" s="116"/>
      <c r="V114" s="131">
        <v>42023</v>
      </c>
    </row>
    <row r="115" spans="1:22" s="114" customFormat="1" ht="15">
      <c r="A115" s="12" t="s">
        <v>64</v>
      </c>
      <c r="B115" s="65">
        <v>42012.27847222222</v>
      </c>
      <c r="C115" s="14">
        <v>72.34</v>
      </c>
      <c r="D115" s="15">
        <v>120</v>
      </c>
      <c r="E115" s="15">
        <f t="shared" si="35"/>
        <v>8691.800000000001</v>
      </c>
      <c r="F115" s="13"/>
      <c r="G115" s="14">
        <v>81.44</v>
      </c>
      <c r="H115" s="15">
        <f t="shared" si="36"/>
        <v>9772.8</v>
      </c>
      <c r="I115" s="16">
        <f t="shared" si="37"/>
        <v>1080.9999999999982</v>
      </c>
      <c r="J115" s="19">
        <f t="shared" si="40"/>
        <v>0.12437009595250674</v>
      </c>
      <c r="K115" s="95" t="s">
        <v>117</v>
      </c>
      <c r="L115" s="97">
        <v>72.63</v>
      </c>
      <c r="M115" s="41">
        <f t="shared" si="39"/>
        <v>67.2762</v>
      </c>
      <c r="N115" s="118">
        <v>93.71</v>
      </c>
      <c r="O115" s="116"/>
      <c r="P115" s="116" t="s">
        <v>79</v>
      </c>
      <c r="Q115" s="117"/>
      <c r="R115" s="118"/>
      <c r="S115" s="117"/>
      <c r="T115" s="116"/>
      <c r="V115" s="131">
        <v>42051</v>
      </c>
    </row>
    <row r="116" spans="1:22" s="114" customFormat="1" ht="15">
      <c r="A116" s="12" t="s">
        <v>64</v>
      </c>
      <c r="B116" s="65">
        <v>42024.27291666667</v>
      </c>
      <c r="C116" s="14">
        <v>75.2</v>
      </c>
      <c r="D116" s="15">
        <v>80</v>
      </c>
      <c r="E116" s="15">
        <f t="shared" si="35"/>
        <v>6027</v>
      </c>
      <c r="F116" s="29"/>
      <c r="G116" s="14">
        <v>81.44</v>
      </c>
      <c r="H116" s="15">
        <f t="shared" si="36"/>
        <v>6515.2</v>
      </c>
      <c r="I116" s="16">
        <f t="shared" si="37"/>
        <v>488.1999999999998</v>
      </c>
      <c r="J116" s="19">
        <f t="shared" si="40"/>
        <v>0.08100215696034509</v>
      </c>
      <c r="K116" s="95" t="s">
        <v>116</v>
      </c>
      <c r="L116" s="97">
        <v>72.63</v>
      </c>
      <c r="M116" s="41">
        <f t="shared" si="39"/>
        <v>69.936</v>
      </c>
      <c r="N116" s="118">
        <v>93.71</v>
      </c>
      <c r="O116" s="116"/>
      <c r="P116" s="116" t="s">
        <v>79</v>
      </c>
      <c r="Q116" s="117"/>
      <c r="R116" s="118"/>
      <c r="S116" s="117"/>
      <c r="T116" s="116"/>
      <c r="V116" s="131">
        <v>42097</v>
      </c>
    </row>
    <row r="117" spans="1:22" s="114" customFormat="1" ht="15">
      <c r="A117" s="12" t="s">
        <v>80</v>
      </c>
      <c r="B117" s="65">
        <v>42011.30486111111</v>
      </c>
      <c r="C117" s="14">
        <v>58.02</v>
      </c>
      <c r="D117" s="15">
        <v>250</v>
      </c>
      <c r="E117" s="15">
        <f t="shared" si="35"/>
        <v>14516</v>
      </c>
      <c r="F117" s="13"/>
      <c r="G117" s="14">
        <v>61.13</v>
      </c>
      <c r="H117" s="15">
        <f t="shared" si="36"/>
        <v>15282.5</v>
      </c>
      <c r="I117" s="16">
        <f t="shared" si="37"/>
        <v>766.5</v>
      </c>
      <c r="J117" s="19">
        <f t="shared" si="40"/>
        <v>0.05280380270046845</v>
      </c>
      <c r="K117" s="95" t="s">
        <v>81</v>
      </c>
      <c r="L117" s="97"/>
      <c r="M117" s="20">
        <f t="shared" si="39"/>
        <v>53.958600000000004</v>
      </c>
      <c r="N117" s="118">
        <v>76.6</v>
      </c>
      <c r="O117" s="121">
        <v>42090</v>
      </c>
      <c r="P117" s="116" t="s">
        <v>80</v>
      </c>
      <c r="Q117" s="117"/>
      <c r="R117" s="118"/>
      <c r="S117" s="117">
        <f>1.11*C117</f>
        <v>64.40220000000001</v>
      </c>
      <c r="T117" s="116"/>
      <c r="V117" s="131">
        <v>42149</v>
      </c>
    </row>
    <row r="118" spans="1:22" s="114" customFormat="1" ht="15">
      <c r="A118" s="12" t="s">
        <v>80</v>
      </c>
      <c r="B118" s="65">
        <v>42011.40694444445</v>
      </c>
      <c r="C118" s="14">
        <v>59.16</v>
      </c>
      <c r="D118" s="15">
        <v>150</v>
      </c>
      <c r="E118" s="15">
        <f t="shared" si="35"/>
        <v>8885</v>
      </c>
      <c r="F118" s="13"/>
      <c r="G118" s="14">
        <v>61.13</v>
      </c>
      <c r="H118" s="15">
        <f t="shared" si="36"/>
        <v>9169.5</v>
      </c>
      <c r="I118" s="16">
        <f t="shared" si="37"/>
        <v>284.5</v>
      </c>
      <c r="J118" s="122">
        <f t="shared" si="40"/>
        <v>0.032020258863252674</v>
      </c>
      <c r="K118" s="95" t="s">
        <v>82</v>
      </c>
      <c r="L118" s="119"/>
      <c r="M118" s="20">
        <f t="shared" si="39"/>
        <v>55.0188</v>
      </c>
      <c r="N118" s="118">
        <v>77.93</v>
      </c>
      <c r="O118" s="116"/>
      <c r="P118" s="116" t="s">
        <v>80</v>
      </c>
      <c r="Q118" s="117"/>
      <c r="R118" s="118"/>
      <c r="S118" s="117"/>
      <c r="T118" s="116"/>
      <c r="V118" s="131">
        <v>42188</v>
      </c>
    </row>
    <row r="119" spans="1:22" s="114" customFormat="1" ht="15">
      <c r="A119" s="12" t="s">
        <v>80</v>
      </c>
      <c r="B119" s="65">
        <v>42012.29305555556</v>
      </c>
      <c r="C119" s="14">
        <v>60.3</v>
      </c>
      <c r="D119" s="15">
        <v>100</v>
      </c>
      <c r="E119" s="15">
        <f t="shared" si="35"/>
        <v>6041</v>
      </c>
      <c r="F119" s="29"/>
      <c r="G119" s="14">
        <v>61.13</v>
      </c>
      <c r="H119" s="15">
        <f t="shared" si="36"/>
        <v>6113</v>
      </c>
      <c r="I119" s="16">
        <f t="shared" si="37"/>
        <v>72</v>
      </c>
      <c r="J119" s="19">
        <f t="shared" si="40"/>
        <v>0.011918556530375766</v>
      </c>
      <c r="K119" s="95" t="s">
        <v>83</v>
      </c>
      <c r="L119" s="119"/>
      <c r="M119" s="20">
        <f t="shared" si="39"/>
        <v>56.079</v>
      </c>
      <c r="N119" s="118">
        <v>77.93</v>
      </c>
      <c r="O119" s="116"/>
      <c r="P119" s="116" t="s">
        <v>80</v>
      </c>
      <c r="Q119" s="117"/>
      <c r="R119" s="118"/>
      <c r="S119" s="117"/>
      <c r="T119" s="116"/>
      <c r="V119" s="131">
        <v>42254</v>
      </c>
    </row>
    <row r="120" spans="1:22" s="114" customFormat="1" ht="15">
      <c r="A120" s="12" t="s">
        <v>60</v>
      </c>
      <c r="B120" s="65">
        <v>42012.27569444444</v>
      </c>
      <c r="C120" s="14">
        <v>75.9</v>
      </c>
      <c r="D120" s="15">
        <v>190</v>
      </c>
      <c r="E120" s="15">
        <f t="shared" si="35"/>
        <v>14432.000000000002</v>
      </c>
      <c r="F120" s="13"/>
      <c r="G120" s="14">
        <v>82.29</v>
      </c>
      <c r="H120" s="15">
        <f t="shared" si="36"/>
        <v>15635.1</v>
      </c>
      <c r="I120" s="16">
        <f t="shared" si="37"/>
        <v>1203.0999999999985</v>
      </c>
      <c r="J120" s="19">
        <f t="shared" si="40"/>
        <v>0.08336335920177372</v>
      </c>
      <c r="K120" s="95" t="s">
        <v>86</v>
      </c>
      <c r="L120" s="119"/>
      <c r="M120" s="20">
        <f t="shared" si="39"/>
        <v>70.587</v>
      </c>
      <c r="N120" s="118">
        <v>97.93</v>
      </c>
      <c r="O120" s="121">
        <f>WORKDAY(B122,40,'Weekly Summary'!P$2:P$10)</f>
        <v>42073</v>
      </c>
      <c r="P120" s="116" t="s">
        <v>60</v>
      </c>
      <c r="Q120" s="117"/>
      <c r="R120" s="118"/>
      <c r="S120" s="117">
        <f>1.11*C120</f>
        <v>84.24900000000001</v>
      </c>
      <c r="T120" s="116"/>
      <c r="V120" s="131">
        <v>42334</v>
      </c>
    </row>
    <row r="121" spans="1:22" s="114" customFormat="1" ht="15">
      <c r="A121" s="12" t="s">
        <v>60</v>
      </c>
      <c r="B121" s="65">
        <v>42012.520833333336</v>
      </c>
      <c r="C121" s="14">
        <v>78</v>
      </c>
      <c r="D121" s="15">
        <v>110</v>
      </c>
      <c r="E121" s="15">
        <f t="shared" si="35"/>
        <v>8591</v>
      </c>
      <c r="F121" s="13"/>
      <c r="G121" s="14">
        <v>82.29</v>
      </c>
      <c r="H121" s="15">
        <f t="shared" si="36"/>
        <v>9051.900000000001</v>
      </c>
      <c r="I121" s="16">
        <f t="shared" si="37"/>
        <v>460.90000000000146</v>
      </c>
      <c r="J121" s="19">
        <f t="shared" si="40"/>
        <v>0.053649167733674945</v>
      </c>
      <c r="K121" s="95" t="s">
        <v>87</v>
      </c>
      <c r="L121" s="119"/>
      <c r="M121" s="20">
        <f t="shared" si="39"/>
        <v>72.54</v>
      </c>
      <c r="N121" s="118">
        <v>97.93</v>
      </c>
      <c r="P121" s="116" t="s">
        <v>60</v>
      </c>
      <c r="Q121" s="117"/>
      <c r="R121" s="118"/>
      <c r="S121" s="117"/>
      <c r="T121" s="116"/>
      <c r="V121" s="131">
        <v>42363</v>
      </c>
    </row>
    <row r="122" spans="1:20" s="114" customFormat="1" ht="15">
      <c r="A122" s="12" t="s">
        <v>60</v>
      </c>
      <c r="B122" s="65">
        <v>42013.274305555555</v>
      </c>
      <c r="C122" s="14">
        <v>79.2</v>
      </c>
      <c r="D122" s="15">
        <v>70</v>
      </c>
      <c r="E122" s="15">
        <f t="shared" si="35"/>
        <v>5555</v>
      </c>
      <c r="F122" s="29"/>
      <c r="G122" s="14">
        <v>82.29</v>
      </c>
      <c r="H122" s="15">
        <f t="shared" si="36"/>
        <v>5760.3</v>
      </c>
      <c r="I122" s="16">
        <f t="shared" si="37"/>
        <v>205.30000000000018</v>
      </c>
      <c r="J122" s="19">
        <f t="shared" si="40"/>
        <v>0.03695769576957699</v>
      </c>
      <c r="K122" s="95" t="s">
        <v>88</v>
      </c>
      <c r="L122" s="119"/>
      <c r="M122" s="20">
        <f t="shared" si="39"/>
        <v>73.656</v>
      </c>
      <c r="N122" s="118">
        <v>97.93</v>
      </c>
      <c r="O122" s="116"/>
      <c r="P122" s="116" t="s">
        <v>60</v>
      </c>
      <c r="Q122" s="117"/>
      <c r="R122" s="118"/>
      <c r="S122" s="117"/>
      <c r="T122" s="116"/>
    </row>
    <row r="123" spans="1:20" s="114" customFormat="1" ht="15">
      <c r="A123" s="12" t="s">
        <v>73</v>
      </c>
      <c r="B123" s="65">
        <v>42017.27847222222</v>
      </c>
      <c r="C123" s="14">
        <v>21.2</v>
      </c>
      <c r="D123" s="15">
        <v>680</v>
      </c>
      <c r="E123" s="15">
        <f t="shared" si="35"/>
        <v>14427</v>
      </c>
      <c r="F123" s="13"/>
      <c r="G123" s="14">
        <v>23.13</v>
      </c>
      <c r="H123" s="15">
        <f t="shared" si="36"/>
        <v>15728.4</v>
      </c>
      <c r="I123" s="16">
        <f t="shared" si="37"/>
        <v>1301.3999999999996</v>
      </c>
      <c r="J123" s="19">
        <f t="shared" si="40"/>
        <v>0.09020586400499062</v>
      </c>
      <c r="K123" s="95" t="s">
        <v>111</v>
      </c>
      <c r="L123" s="119">
        <v>20.67</v>
      </c>
      <c r="M123" s="41">
        <f t="shared" si="39"/>
        <v>19.716</v>
      </c>
      <c r="N123" s="118">
        <v>26.43</v>
      </c>
      <c r="O123" s="121">
        <f>WORKDAY(B123,40,'Weekly Summary'!P$2:P$10)</f>
        <v>42075</v>
      </c>
      <c r="P123" s="116" t="s">
        <v>73</v>
      </c>
      <c r="Q123" s="117">
        <v>24.17</v>
      </c>
      <c r="R123" s="118">
        <f>Q123*0.855</f>
        <v>20.66535</v>
      </c>
      <c r="S123" s="117">
        <f>1.11*C123</f>
        <v>23.532</v>
      </c>
      <c r="T123" s="116"/>
    </row>
    <row r="124" spans="1:20" s="114" customFormat="1" ht="15">
      <c r="A124" s="12" t="s">
        <v>73</v>
      </c>
      <c r="B124" s="65">
        <v>42020.5375</v>
      </c>
      <c r="C124" s="14">
        <v>21.73</v>
      </c>
      <c r="D124" s="15">
        <v>400</v>
      </c>
      <c r="E124" s="15">
        <f t="shared" si="35"/>
        <v>8703</v>
      </c>
      <c r="F124" s="13"/>
      <c r="G124" s="14">
        <v>23.13</v>
      </c>
      <c r="H124" s="15">
        <f t="shared" si="36"/>
        <v>9252</v>
      </c>
      <c r="I124" s="16">
        <f t="shared" si="37"/>
        <v>549</v>
      </c>
      <c r="J124" s="19">
        <f t="shared" si="40"/>
        <v>0.06308169596690796</v>
      </c>
      <c r="K124" s="95" t="s">
        <v>119</v>
      </c>
      <c r="L124" s="119">
        <v>20.67</v>
      </c>
      <c r="M124" s="41">
        <f t="shared" si="39"/>
        <v>20.2089</v>
      </c>
      <c r="N124" s="118">
        <v>26.43</v>
      </c>
      <c r="O124" s="116"/>
      <c r="P124" s="116" t="s">
        <v>73</v>
      </c>
      <c r="Q124" s="117"/>
      <c r="R124" s="118"/>
      <c r="S124" s="117"/>
      <c r="T124" s="116"/>
    </row>
    <row r="125" spans="1:20" s="114" customFormat="1" ht="15">
      <c r="A125" s="12" t="s">
        <v>73</v>
      </c>
      <c r="B125" s="65">
        <v>42024.39791666667</v>
      </c>
      <c r="C125" s="14">
        <v>22.2</v>
      </c>
      <c r="D125" s="15">
        <v>260</v>
      </c>
      <c r="E125" s="15">
        <f t="shared" si="35"/>
        <v>5783</v>
      </c>
      <c r="F125" s="29"/>
      <c r="G125" s="14">
        <v>23.13</v>
      </c>
      <c r="H125" s="15">
        <f t="shared" si="36"/>
        <v>6013.8</v>
      </c>
      <c r="I125" s="16">
        <f t="shared" si="37"/>
        <v>230.80000000000018</v>
      </c>
      <c r="J125" s="19">
        <f t="shared" si="40"/>
        <v>0.039910081272695866</v>
      </c>
      <c r="K125" s="95" t="s">
        <v>118</v>
      </c>
      <c r="L125" s="119">
        <v>20.67</v>
      </c>
      <c r="M125" s="41">
        <f t="shared" si="39"/>
        <v>20.646</v>
      </c>
      <c r="N125" s="118">
        <v>26.43</v>
      </c>
      <c r="O125" s="116"/>
      <c r="P125" s="116" t="s">
        <v>73</v>
      </c>
      <c r="Q125" s="117"/>
      <c r="R125" s="118"/>
      <c r="S125" s="117"/>
      <c r="T125" s="116"/>
    </row>
    <row r="126" spans="1:20" s="114" customFormat="1" ht="15">
      <c r="A126" s="12" t="s">
        <v>58</v>
      </c>
      <c r="B126" s="65">
        <v>42020.27291666667</v>
      </c>
      <c r="C126" s="14">
        <v>40.8</v>
      </c>
      <c r="D126" s="15">
        <v>350</v>
      </c>
      <c r="E126" s="15">
        <f t="shared" si="35"/>
        <v>14290.999999999998</v>
      </c>
      <c r="F126" s="13"/>
      <c r="G126" s="14">
        <v>47.36</v>
      </c>
      <c r="H126" s="15">
        <f t="shared" si="36"/>
        <v>16576</v>
      </c>
      <c r="I126" s="16">
        <f t="shared" si="37"/>
        <v>2285.000000000002</v>
      </c>
      <c r="J126" s="19">
        <f t="shared" si="40"/>
        <v>0.1598908403890562</v>
      </c>
      <c r="K126" s="95" t="s">
        <v>120</v>
      </c>
      <c r="L126" s="119">
        <v>41.04</v>
      </c>
      <c r="M126" s="41">
        <f t="shared" si="39"/>
        <v>37.944</v>
      </c>
      <c r="N126" s="118">
        <v>56.56</v>
      </c>
      <c r="O126" s="121">
        <f>WORKDAY(B129,40,'Weekly Summary'!P$2:P$10)</f>
        <v>42100</v>
      </c>
      <c r="P126" s="116" t="s">
        <v>58</v>
      </c>
      <c r="Q126" s="117">
        <v>48</v>
      </c>
      <c r="R126" s="118">
        <f>Q126*0.855</f>
        <v>41.04</v>
      </c>
      <c r="S126" s="117">
        <f>1.11*C126</f>
        <v>45.288000000000004</v>
      </c>
      <c r="T126" s="116"/>
    </row>
    <row r="127" spans="1:20" s="114" customFormat="1" ht="15">
      <c r="A127" s="12" t="s">
        <v>58</v>
      </c>
      <c r="B127" s="65">
        <v>42024.35486111111</v>
      </c>
      <c r="C127" s="14">
        <v>42.9</v>
      </c>
      <c r="D127" s="15">
        <v>200</v>
      </c>
      <c r="E127" s="15">
        <f t="shared" si="35"/>
        <v>8591</v>
      </c>
      <c r="F127" s="13"/>
      <c r="G127" s="14">
        <v>47.36</v>
      </c>
      <c r="H127" s="15">
        <f t="shared" si="36"/>
        <v>9472</v>
      </c>
      <c r="I127" s="16">
        <f t="shared" si="37"/>
        <v>881</v>
      </c>
      <c r="J127" s="19">
        <f t="shared" si="40"/>
        <v>0.10254917937376325</v>
      </c>
      <c r="K127" s="95" t="s">
        <v>121</v>
      </c>
      <c r="L127" s="119">
        <v>41.04</v>
      </c>
      <c r="M127" s="41">
        <f t="shared" si="39"/>
        <v>39.897</v>
      </c>
      <c r="N127" s="118">
        <v>56.56</v>
      </c>
      <c r="O127" s="116"/>
      <c r="P127" s="116" t="s">
        <v>58</v>
      </c>
      <c r="Q127" s="117"/>
      <c r="R127" s="118"/>
      <c r="S127" s="117"/>
      <c r="T127" s="116"/>
    </row>
    <row r="128" spans="1:20" s="114" customFormat="1" ht="15">
      <c r="A128" s="85" t="s">
        <v>58</v>
      </c>
      <c r="B128" s="65">
        <v>42039.3375</v>
      </c>
      <c r="C128" s="14">
        <v>43.9</v>
      </c>
      <c r="D128" s="15">
        <v>130</v>
      </c>
      <c r="E128" s="15">
        <f t="shared" si="35"/>
        <v>5718</v>
      </c>
      <c r="F128" s="29"/>
      <c r="G128" s="14">
        <v>47.36</v>
      </c>
      <c r="H128" s="15">
        <f t="shared" si="36"/>
        <v>6156.8</v>
      </c>
      <c r="I128" s="16">
        <f t="shared" si="37"/>
        <v>438.8000000000002</v>
      </c>
      <c r="J128" s="19">
        <f t="shared" si="40"/>
        <v>0.07674011892270027</v>
      </c>
      <c r="K128" s="95" t="s">
        <v>130</v>
      </c>
      <c r="L128" s="119">
        <v>41.04</v>
      </c>
      <c r="M128" s="41">
        <f t="shared" si="39"/>
        <v>40.827</v>
      </c>
      <c r="N128" s="118">
        <v>56.56</v>
      </c>
      <c r="O128" s="116"/>
      <c r="P128" s="116" t="s">
        <v>58</v>
      </c>
      <c r="Q128" s="117"/>
      <c r="R128" s="118"/>
      <c r="S128" s="117"/>
      <c r="T128" s="116"/>
    </row>
    <row r="129" spans="1:20" s="114" customFormat="1" ht="15">
      <c r="A129" s="85" t="s">
        <v>61</v>
      </c>
      <c r="B129" s="65">
        <v>42040.27847222222</v>
      </c>
      <c r="C129" s="14">
        <v>132.85</v>
      </c>
      <c r="D129" s="15">
        <v>110</v>
      </c>
      <c r="E129" s="15">
        <f t="shared" si="35"/>
        <v>14624.5</v>
      </c>
      <c r="F129" s="13"/>
      <c r="G129" s="14">
        <v>133.26</v>
      </c>
      <c r="H129" s="15">
        <f t="shared" si="36"/>
        <v>14658.599999999999</v>
      </c>
      <c r="I129" s="16">
        <f t="shared" si="37"/>
        <v>34.099999999998545</v>
      </c>
      <c r="J129" s="19">
        <f t="shared" si="40"/>
        <v>0.0023317036479878657</v>
      </c>
      <c r="K129" s="95" t="s">
        <v>127</v>
      </c>
      <c r="L129" s="119"/>
      <c r="M129" s="20">
        <f t="shared" si="39"/>
        <v>123.5505</v>
      </c>
      <c r="N129" s="118">
        <v>168.13</v>
      </c>
      <c r="O129" s="121">
        <v>42086</v>
      </c>
      <c r="P129" s="116" t="s">
        <v>61</v>
      </c>
      <c r="Q129" s="117"/>
      <c r="R129" s="118"/>
      <c r="S129" s="117">
        <f>1.11*C129</f>
        <v>147.4635</v>
      </c>
      <c r="T129" s="116"/>
    </row>
    <row r="130" spans="1:20" s="114" customFormat="1" ht="15">
      <c r="A130" s="12"/>
      <c r="B130" s="65"/>
      <c r="C130" s="14"/>
      <c r="D130" s="15"/>
      <c r="E130" s="15"/>
      <c r="F130" s="13"/>
      <c r="G130" s="14"/>
      <c r="H130" s="15"/>
      <c r="I130" s="16"/>
      <c r="J130" s="19"/>
      <c r="K130" s="95"/>
      <c r="L130" s="119"/>
      <c r="M130" s="20"/>
      <c r="N130" s="118"/>
      <c r="O130" s="116"/>
      <c r="P130" s="116"/>
      <c r="Q130" s="117"/>
      <c r="R130" s="118"/>
      <c r="S130" s="117"/>
      <c r="T130" s="116"/>
    </row>
    <row r="131" spans="1:20" s="114" customFormat="1" ht="15">
      <c r="A131" s="12"/>
      <c r="B131" s="13"/>
      <c r="C131" s="14"/>
      <c r="D131" s="15"/>
      <c r="E131" s="15"/>
      <c r="F131" s="13"/>
      <c r="G131" s="14"/>
      <c r="H131" s="15"/>
      <c r="I131" s="16"/>
      <c r="J131" s="19"/>
      <c r="K131" s="95"/>
      <c r="L131" s="119"/>
      <c r="M131" s="32"/>
      <c r="N131" s="118"/>
      <c r="Q131" s="117"/>
      <c r="R131" s="117"/>
      <c r="S131" s="117"/>
      <c r="T131" s="116"/>
    </row>
    <row r="132" spans="1:20" s="114" customFormat="1" ht="15">
      <c r="A132" s="21" t="s">
        <v>14</v>
      </c>
      <c r="B132" s="22"/>
      <c r="C132" s="23"/>
      <c r="D132" s="24"/>
      <c r="E132" s="24">
        <f>SUM(E111:E131)</f>
        <v>188084.8</v>
      </c>
      <c r="F132" s="22"/>
      <c r="G132" s="23"/>
      <c r="H132" s="24">
        <f>SUM(H111:H131)</f>
        <v>201319.15</v>
      </c>
      <c r="I132" s="25">
        <f>SUM(I111:I131)</f>
        <v>13234.349999999999</v>
      </c>
      <c r="J132" s="26">
        <f>I132/E132</f>
        <v>0.07036374018527812</v>
      </c>
      <c r="K132" s="27" t="s">
        <v>15</v>
      </c>
      <c r="L132" s="28">
        <f>100000+I134</f>
        <v>110534.20999999999</v>
      </c>
      <c r="M132" s="81"/>
      <c r="N132" s="89"/>
      <c r="Q132" s="117"/>
      <c r="R132" s="117"/>
      <c r="S132" s="117"/>
      <c r="T132" s="116"/>
    </row>
    <row r="133" spans="1:20" s="114" customFormat="1" ht="15">
      <c r="A133" s="12" t="s">
        <v>67</v>
      </c>
      <c r="B133" s="22"/>
      <c r="C133" s="25">
        <f>I134-I106</f>
        <v>2802.7999999999975</v>
      </c>
      <c r="D133" s="26">
        <f>C133/H104</f>
        <v>0.013638010284951587</v>
      </c>
      <c r="E133" s="24"/>
      <c r="F133" s="22" t="s">
        <v>16</v>
      </c>
      <c r="G133" s="117"/>
      <c r="H133" s="29" t="str">
        <f>IF(ABS(H132-E132-I132)&lt;1,"","ERROR")</f>
        <v/>
      </c>
      <c r="I133" s="30">
        <v>-2700.1399999999994</v>
      </c>
      <c r="J133" s="26"/>
      <c r="K133" s="111" t="s">
        <v>17</v>
      </c>
      <c r="L133" s="28">
        <f>(2*(100000+I134))-E132</f>
        <v>32983.619999999995</v>
      </c>
      <c r="M133" s="31"/>
      <c r="Q133" s="117"/>
      <c r="R133" s="117"/>
      <c r="S133" s="117"/>
      <c r="T133" s="116"/>
    </row>
    <row r="134" spans="1:20" s="114" customFormat="1" ht="15">
      <c r="A134" s="12" t="s">
        <v>54</v>
      </c>
      <c r="B134" s="22"/>
      <c r="C134" s="25">
        <f>L132-L104</f>
        <v>2802.7999999999884</v>
      </c>
      <c r="D134" s="26">
        <f>C134/L104</f>
        <v>0.02601655357522925</v>
      </c>
      <c r="E134" s="24"/>
      <c r="F134" s="22" t="s">
        <v>18</v>
      </c>
      <c r="G134" s="117"/>
      <c r="H134" s="29"/>
      <c r="I134" s="30">
        <f>I132+I133</f>
        <v>10534.21</v>
      </c>
      <c r="J134" s="26">
        <f>I134/100000</f>
        <v>0.1053421</v>
      </c>
      <c r="K134" s="111" t="s">
        <v>19</v>
      </c>
      <c r="L134" s="26">
        <f>E132/(2*(100000+I134))</f>
        <v>0.8507990422150753</v>
      </c>
      <c r="M134" s="31"/>
      <c r="Q134" s="117"/>
      <c r="R134" s="117"/>
      <c r="S134" s="117"/>
      <c r="T134" s="116"/>
    </row>
    <row r="135" spans="2:20" s="114" customFormat="1" ht="15">
      <c r="B135" s="22"/>
      <c r="C135" s="25"/>
      <c r="D135" s="26"/>
      <c r="E135" s="24"/>
      <c r="F135" s="22"/>
      <c r="G135" s="117"/>
      <c r="H135" s="29"/>
      <c r="I135" s="30"/>
      <c r="J135" s="26"/>
      <c r="K135" s="111"/>
      <c r="L135" s="26"/>
      <c r="M135" s="31"/>
      <c r="Q135" s="117"/>
      <c r="R135" s="117"/>
      <c r="S135" s="117"/>
      <c r="T135" s="116"/>
    </row>
    <row r="136" spans="1:20" s="114" customFormat="1" ht="15">
      <c r="A136" s="12"/>
      <c r="B136" s="22"/>
      <c r="C136" s="25"/>
      <c r="D136" s="26"/>
      <c r="E136" s="24"/>
      <c r="F136" s="22"/>
      <c r="G136" s="117"/>
      <c r="H136" s="29"/>
      <c r="I136" s="30"/>
      <c r="J136" s="26"/>
      <c r="K136" s="111"/>
      <c r="L136" s="26"/>
      <c r="M136" s="31"/>
      <c r="Q136" s="117"/>
      <c r="R136" s="117"/>
      <c r="S136" s="117"/>
      <c r="T136" s="116"/>
    </row>
    <row r="137" spans="1:20" s="114" customFormat="1" ht="30.75" customHeight="1">
      <c r="A137" s="108" t="s">
        <v>56</v>
      </c>
      <c r="B137" s="384" t="s">
        <v>131</v>
      </c>
      <c r="C137" s="384"/>
      <c r="D137" s="384"/>
      <c r="E137" s="384"/>
      <c r="F137" s="384"/>
      <c r="G137" s="384"/>
      <c r="H137" s="384"/>
      <c r="I137" s="384"/>
      <c r="J137" s="384"/>
      <c r="K137" s="384"/>
      <c r="L137" s="384"/>
      <c r="M137" s="384"/>
      <c r="N137" s="384"/>
      <c r="O137" s="92"/>
      <c r="P137" s="92"/>
      <c r="Q137" s="104"/>
      <c r="R137" s="104"/>
      <c r="S137" s="107"/>
      <c r="T137" s="109"/>
    </row>
    <row r="138" spans="1:22" s="114" customFormat="1" ht="15">
      <c r="A138" s="2" t="s">
        <v>0</v>
      </c>
      <c r="B138" s="3" t="s">
        <v>1</v>
      </c>
      <c r="C138" s="4" t="s">
        <v>2</v>
      </c>
      <c r="D138" s="5" t="s">
        <v>3</v>
      </c>
      <c r="E138" s="6" t="s">
        <v>4</v>
      </c>
      <c r="F138" s="3" t="s">
        <v>5</v>
      </c>
      <c r="G138" s="7" t="s">
        <v>2</v>
      </c>
      <c r="H138" s="6" t="s">
        <v>6</v>
      </c>
      <c r="I138" s="6" t="s">
        <v>7</v>
      </c>
      <c r="J138" s="8" t="s">
        <v>8</v>
      </c>
      <c r="K138" s="9" t="s">
        <v>9</v>
      </c>
      <c r="L138" s="10" t="s">
        <v>10</v>
      </c>
      <c r="M138" s="11" t="s">
        <v>11</v>
      </c>
      <c r="N138" s="103" t="s">
        <v>53</v>
      </c>
      <c r="O138" s="105" t="s">
        <v>110</v>
      </c>
      <c r="P138" s="106" t="s">
        <v>0</v>
      </c>
      <c r="Q138" s="117" t="s">
        <v>13</v>
      </c>
      <c r="R138" s="117" t="s">
        <v>70</v>
      </c>
      <c r="S138" s="111" t="s">
        <v>103</v>
      </c>
      <c r="T138" s="116" t="s">
        <v>107</v>
      </c>
      <c r="V138" s="9"/>
    </row>
    <row r="139" spans="1:22" s="114" customFormat="1" ht="15">
      <c r="A139" s="12" t="s">
        <v>92</v>
      </c>
      <c r="B139" s="65">
        <v>42010.447916666664</v>
      </c>
      <c r="C139" s="14">
        <v>111.9</v>
      </c>
      <c r="D139" s="15">
        <v>130</v>
      </c>
      <c r="E139" s="15">
        <f aca="true" t="shared" si="41" ref="E139:E162">C139*D139+11</f>
        <v>14558</v>
      </c>
      <c r="F139" s="13"/>
      <c r="G139" s="14">
        <v>117.74</v>
      </c>
      <c r="H139" s="15">
        <f aca="true" t="shared" si="42" ref="H139:H162">G139*D139</f>
        <v>15306.199999999999</v>
      </c>
      <c r="I139" s="16">
        <f aca="true" t="shared" si="43" ref="I139:I162">H139-E139</f>
        <v>748.1999999999989</v>
      </c>
      <c r="J139" s="19">
        <f aca="true" t="shared" si="44" ref="J139">I139/E139</f>
        <v>0.051394422310756895</v>
      </c>
      <c r="K139" s="95" t="s">
        <v>93</v>
      </c>
      <c r="L139" s="97"/>
      <c r="M139" s="20">
        <f aca="true" t="shared" si="45" ref="M139:M162">C139*0.93</f>
        <v>104.06700000000001</v>
      </c>
      <c r="N139" s="118">
        <v>141.88</v>
      </c>
      <c r="O139" s="121">
        <f>WORKDAY(B140,40,'Weekly Summary'!P$2:P$10)</f>
        <v>42069</v>
      </c>
      <c r="P139" s="116" t="s">
        <v>92</v>
      </c>
      <c r="Q139" s="117">
        <v>122.27</v>
      </c>
      <c r="R139" s="118"/>
      <c r="S139" s="117">
        <f>1.11*C139</f>
        <v>124.20900000000002</v>
      </c>
      <c r="T139" s="116"/>
      <c r="V139" s="131"/>
    </row>
    <row r="140" spans="1:22" s="114" customFormat="1" ht="15">
      <c r="A140" s="12" t="s">
        <v>92</v>
      </c>
      <c r="B140" s="65">
        <v>42011.34305555555</v>
      </c>
      <c r="C140" s="14">
        <v>114.4</v>
      </c>
      <c r="D140" s="15">
        <v>75</v>
      </c>
      <c r="E140" s="15">
        <f t="shared" si="41"/>
        <v>8591</v>
      </c>
      <c r="F140" s="13"/>
      <c r="G140" s="14">
        <v>117.74</v>
      </c>
      <c r="H140" s="15">
        <f t="shared" si="42"/>
        <v>8830.5</v>
      </c>
      <c r="I140" s="16">
        <f t="shared" si="43"/>
        <v>239.5</v>
      </c>
      <c r="J140" s="19">
        <f>I140/E140</f>
        <v>0.027878011872890233</v>
      </c>
      <c r="K140" s="95" t="s">
        <v>94</v>
      </c>
      <c r="L140" s="97"/>
      <c r="M140" s="20">
        <f t="shared" si="45"/>
        <v>106.39200000000001</v>
      </c>
      <c r="N140" s="118">
        <v>141.88</v>
      </c>
      <c r="O140" s="116"/>
      <c r="P140" s="116" t="s">
        <v>92</v>
      </c>
      <c r="Q140" s="117"/>
      <c r="R140" s="118"/>
      <c r="S140" s="117"/>
      <c r="T140" s="116"/>
      <c r="V140" s="131"/>
    </row>
    <row r="141" spans="1:22" s="114" customFormat="1" ht="15">
      <c r="A141" s="12" t="s">
        <v>92</v>
      </c>
      <c r="B141" s="65">
        <v>42012.39513888889</v>
      </c>
      <c r="C141" s="14">
        <v>117.75</v>
      </c>
      <c r="D141" s="15">
        <v>50</v>
      </c>
      <c r="E141" s="15">
        <f t="shared" si="41"/>
        <v>5898.5</v>
      </c>
      <c r="F141" s="13"/>
      <c r="G141" s="14">
        <v>117.74</v>
      </c>
      <c r="H141" s="15">
        <f t="shared" si="42"/>
        <v>5887</v>
      </c>
      <c r="I141" s="16">
        <f t="shared" si="43"/>
        <v>-11.5</v>
      </c>
      <c r="J141" s="19">
        <f>I141/E141</f>
        <v>-0.001949648215648046</v>
      </c>
      <c r="K141" s="95" t="s">
        <v>95</v>
      </c>
      <c r="L141" s="97"/>
      <c r="M141" s="20">
        <f t="shared" si="45"/>
        <v>109.50750000000001</v>
      </c>
      <c r="N141" s="118">
        <v>141.88</v>
      </c>
      <c r="O141" s="116"/>
      <c r="P141" s="116" t="s">
        <v>92</v>
      </c>
      <c r="Q141" s="117"/>
      <c r="R141" s="118"/>
      <c r="S141" s="117"/>
      <c r="T141" s="116"/>
      <c r="V141" s="131"/>
    </row>
    <row r="142" spans="1:22" s="114" customFormat="1" ht="15">
      <c r="A142" s="12" t="s">
        <v>64</v>
      </c>
      <c r="B142" s="65">
        <v>42011.27291666667</v>
      </c>
      <c r="C142" s="14">
        <v>70.75</v>
      </c>
      <c r="D142" s="15">
        <v>200</v>
      </c>
      <c r="E142" s="15">
        <f t="shared" si="41"/>
        <v>14161</v>
      </c>
      <c r="F142" s="13"/>
      <c r="G142" s="14">
        <v>81.85</v>
      </c>
      <c r="H142" s="15">
        <f t="shared" si="42"/>
        <v>16369.999999999998</v>
      </c>
      <c r="I142" s="16">
        <f t="shared" si="43"/>
        <v>2208.999999999998</v>
      </c>
      <c r="J142" s="19">
        <f aca="true" t="shared" si="46" ref="J142:J162">I142/E142</f>
        <v>0.15599180848810099</v>
      </c>
      <c r="K142" s="95" t="s">
        <v>74</v>
      </c>
      <c r="L142" s="97">
        <v>72.63</v>
      </c>
      <c r="M142" s="41">
        <f t="shared" si="45"/>
        <v>65.7975</v>
      </c>
      <c r="N142" s="118">
        <v>93.71</v>
      </c>
      <c r="O142" s="121">
        <f>WORKDAY(B144,40,'Weekly Summary'!P$2:P$10)</f>
        <v>42081</v>
      </c>
      <c r="P142" s="116" t="s">
        <v>79</v>
      </c>
      <c r="Q142" s="117">
        <v>84.95</v>
      </c>
      <c r="R142" s="118">
        <f>Q142*0.855</f>
        <v>72.63225</v>
      </c>
      <c r="S142" s="117">
        <f>1.11*C142</f>
        <v>78.53250000000001</v>
      </c>
      <c r="T142" s="116"/>
      <c r="V142" s="131"/>
    </row>
    <row r="143" spans="1:22" s="114" customFormat="1" ht="15">
      <c r="A143" s="12" t="s">
        <v>64</v>
      </c>
      <c r="B143" s="65">
        <v>42012.27847222222</v>
      </c>
      <c r="C143" s="14">
        <v>72.34</v>
      </c>
      <c r="D143" s="15">
        <v>120</v>
      </c>
      <c r="E143" s="15">
        <f t="shared" si="41"/>
        <v>8691.800000000001</v>
      </c>
      <c r="F143" s="13"/>
      <c r="G143" s="14">
        <v>81.85</v>
      </c>
      <c r="H143" s="15">
        <f t="shared" si="42"/>
        <v>9822</v>
      </c>
      <c r="I143" s="16">
        <f t="shared" si="43"/>
        <v>1130.199999999999</v>
      </c>
      <c r="J143" s="19">
        <f t="shared" si="46"/>
        <v>0.13003060355737578</v>
      </c>
      <c r="K143" s="95" t="s">
        <v>117</v>
      </c>
      <c r="L143" s="97">
        <v>72.63</v>
      </c>
      <c r="M143" s="41">
        <f t="shared" si="45"/>
        <v>67.2762</v>
      </c>
      <c r="N143" s="118">
        <v>93.71</v>
      </c>
      <c r="O143" s="116"/>
      <c r="P143" s="116" t="s">
        <v>79</v>
      </c>
      <c r="Q143" s="117"/>
      <c r="R143" s="118"/>
      <c r="S143" s="117"/>
      <c r="T143" s="116"/>
      <c r="V143" s="131"/>
    </row>
    <row r="144" spans="1:22" s="114" customFormat="1" ht="15">
      <c r="A144" s="12" t="s">
        <v>64</v>
      </c>
      <c r="B144" s="65">
        <v>42024.27291666667</v>
      </c>
      <c r="C144" s="14">
        <v>75.2</v>
      </c>
      <c r="D144" s="15">
        <v>80</v>
      </c>
      <c r="E144" s="15">
        <f t="shared" si="41"/>
        <v>6027</v>
      </c>
      <c r="F144" s="13"/>
      <c r="G144" s="14">
        <v>81.85</v>
      </c>
      <c r="H144" s="15">
        <f t="shared" si="42"/>
        <v>6548</v>
      </c>
      <c r="I144" s="16">
        <f t="shared" si="43"/>
        <v>521</v>
      </c>
      <c r="J144" s="19">
        <f t="shared" si="46"/>
        <v>0.08644433383109341</v>
      </c>
      <c r="K144" s="95" t="s">
        <v>116</v>
      </c>
      <c r="L144" s="97">
        <v>72.63</v>
      </c>
      <c r="M144" s="41">
        <f t="shared" si="45"/>
        <v>69.936</v>
      </c>
      <c r="N144" s="118">
        <v>93.71</v>
      </c>
      <c r="O144" s="116"/>
      <c r="P144" s="116" t="s">
        <v>79</v>
      </c>
      <c r="Q144" s="117"/>
      <c r="R144" s="118"/>
      <c r="S144" s="117"/>
      <c r="T144" s="116"/>
      <c r="V144" s="131"/>
    </row>
    <row r="145" spans="1:22" s="114" customFormat="1" ht="15">
      <c r="A145" s="12" t="s">
        <v>80</v>
      </c>
      <c r="B145" s="65">
        <v>42011.30486111111</v>
      </c>
      <c r="C145" s="14">
        <v>58.02</v>
      </c>
      <c r="D145" s="15">
        <v>250</v>
      </c>
      <c r="E145" s="15">
        <f t="shared" si="41"/>
        <v>14516</v>
      </c>
      <c r="F145" s="13"/>
      <c r="G145" s="14">
        <v>66.09</v>
      </c>
      <c r="H145" s="15">
        <f t="shared" si="42"/>
        <v>16522.5</v>
      </c>
      <c r="I145" s="16">
        <f t="shared" si="43"/>
        <v>2006.5</v>
      </c>
      <c r="J145" s="19">
        <f t="shared" si="46"/>
        <v>0.13822678423808213</v>
      </c>
      <c r="K145" s="95" t="s">
        <v>81</v>
      </c>
      <c r="L145" s="97">
        <v>57.37</v>
      </c>
      <c r="M145" s="41">
        <f t="shared" si="45"/>
        <v>53.958600000000004</v>
      </c>
      <c r="N145" s="118">
        <v>76.6</v>
      </c>
      <c r="O145" s="121">
        <v>42090</v>
      </c>
      <c r="P145" s="116" t="s">
        <v>80</v>
      </c>
      <c r="Q145" s="117">
        <v>67.1</v>
      </c>
      <c r="R145" s="118">
        <f>Q145*0.855</f>
        <v>57.37049999999999</v>
      </c>
      <c r="S145" s="117">
        <f>1.11*C145</f>
        <v>64.40220000000001</v>
      </c>
      <c r="T145" s="116"/>
      <c r="V145" s="131"/>
    </row>
    <row r="146" spans="1:22" s="114" customFormat="1" ht="15">
      <c r="A146" s="12" t="s">
        <v>80</v>
      </c>
      <c r="B146" s="65">
        <v>42011.40694444445</v>
      </c>
      <c r="C146" s="14">
        <v>59.16</v>
      </c>
      <c r="D146" s="15">
        <v>150</v>
      </c>
      <c r="E146" s="15">
        <f t="shared" si="41"/>
        <v>8885</v>
      </c>
      <c r="F146" s="13"/>
      <c r="G146" s="14">
        <v>66.09</v>
      </c>
      <c r="H146" s="15">
        <f t="shared" si="42"/>
        <v>9913.5</v>
      </c>
      <c r="I146" s="16">
        <f t="shared" si="43"/>
        <v>1028.5</v>
      </c>
      <c r="J146" s="122">
        <f t="shared" si="46"/>
        <v>0.11575689364096792</v>
      </c>
      <c r="K146" s="95" t="s">
        <v>82</v>
      </c>
      <c r="L146" s="97">
        <v>57.37</v>
      </c>
      <c r="M146" s="41">
        <f t="shared" si="45"/>
        <v>55.0188</v>
      </c>
      <c r="N146" s="118">
        <v>77.93</v>
      </c>
      <c r="O146" s="116"/>
      <c r="P146" s="116" t="s">
        <v>80</v>
      </c>
      <c r="Q146" s="117"/>
      <c r="R146" s="118"/>
      <c r="S146" s="117"/>
      <c r="T146" s="116"/>
      <c r="V146" s="131"/>
    </row>
    <row r="147" spans="1:22" s="114" customFormat="1" ht="15">
      <c r="A147" s="12" t="s">
        <v>80</v>
      </c>
      <c r="B147" s="65">
        <v>42012.29305555556</v>
      </c>
      <c r="C147" s="14">
        <v>60.3</v>
      </c>
      <c r="D147" s="15">
        <v>100</v>
      </c>
      <c r="E147" s="15">
        <f t="shared" si="41"/>
        <v>6041</v>
      </c>
      <c r="F147" s="13"/>
      <c r="G147" s="14">
        <v>66.09</v>
      </c>
      <c r="H147" s="15">
        <f t="shared" si="42"/>
        <v>6609</v>
      </c>
      <c r="I147" s="16">
        <f t="shared" si="43"/>
        <v>568</v>
      </c>
      <c r="J147" s="19">
        <f t="shared" si="46"/>
        <v>0.09402416818407548</v>
      </c>
      <c r="K147" s="95" t="s">
        <v>83</v>
      </c>
      <c r="L147" s="97">
        <v>57.37</v>
      </c>
      <c r="M147" s="41">
        <f t="shared" si="45"/>
        <v>56.079</v>
      </c>
      <c r="N147" s="118">
        <v>77.93</v>
      </c>
      <c r="O147" s="116"/>
      <c r="P147" s="116" t="s">
        <v>80</v>
      </c>
      <c r="Q147" s="117"/>
      <c r="R147" s="118"/>
      <c r="S147" s="117"/>
      <c r="T147" s="116"/>
      <c r="V147" s="131"/>
    </row>
    <row r="148" spans="1:22" s="114" customFormat="1" ht="15">
      <c r="A148" s="85" t="s">
        <v>80</v>
      </c>
      <c r="B148" s="65">
        <v>42047.271527777775</v>
      </c>
      <c r="C148" s="14">
        <v>64.65</v>
      </c>
      <c r="D148" s="15">
        <v>100</v>
      </c>
      <c r="E148" s="15">
        <f t="shared" si="41"/>
        <v>6476.000000000001</v>
      </c>
      <c r="F148" s="13"/>
      <c r="G148" s="14">
        <v>66.09</v>
      </c>
      <c r="H148" s="15">
        <f t="shared" si="42"/>
        <v>6609</v>
      </c>
      <c r="I148" s="16">
        <f t="shared" si="43"/>
        <v>132.9999999999991</v>
      </c>
      <c r="J148" s="19">
        <f t="shared" si="46"/>
        <v>0.02053736874613945</v>
      </c>
      <c r="K148" s="95" t="s">
        <v>132</v>
      </c>
      <c r="L148" s="119"/>
      <c r="M148" s="20">
        <f t="shared" si="45"/>
        <v>60.12450000000001</v>
      </c>
      <c r="N148" s="118">
        <v>77.93</v>
      </c>
      <c r="O148" s="116"/>
      <c r="P148" s="116" t="s">
        <v>80</v>
      </c>
      <c r="Q148" s="117"/>
      <c r="R148" s="118"/>
      <c r="S148" s="117"/>
      <c r="T148" s="116"/>
      <c r="V148" s="131"/>
    </row>
    <row r="149" spans="1:22" s="114" customFormat="1" ht="15">
      <c r="A149" s="12" t="s">
        <v>60</v>
      </c>
      <c r="B149" s="65">
        <v>42012.27569444444</v>
      </c>
      <c r="C149" s="14">
        <v>75.9</v>
      </c>
      <c r="D149" s="15">
        <v>190</v>
      </c>
      <c r="E149" s="15">
        <f t="shared" si="41"/>
        <v>14432.000000000002</v>
      </c>
      <c r="F149" s="13"/>
      <c r="G149" s="14">
        <v>84.79</v>
      </c>
      <c r="H149" s="15">
        <f t="shared" si="42"/>
        <v>16110.1</v>
      </c>
      <c r="I149" s="16">
        <f t="shared" si="43"/>
        <v>1678.0999999999985</v>
      </c>
      <c r="J149" s="19">
        <f t="shared" si="46"/>
        <v>0.11627633037694002</v>
      </c>
      <c r="K149" s="95" t="s">
        <v>86</v>
      </c>
      <c r="L149" s="119">
        <v>73.96</v>
      </c>
      <c r="M149" s="41">
        <f t="shared" si="45"/>
        <v>70.587</v>
      </c>
      <c r="N149" s="118">
        <v>97.93</v>
      </c>
      <c r="O149" s="121">
        <f>WORKDAY(B151,40,'Weekly Summary'!P$2:P$10)</f>
        <v>42073</v>
      </c>
      <c r="P149" s="116" t="s">
        <v>60</v>
      </c>
      <c r="Q149" s="117">
        <v>86.5</v>
      </c>
      <c r="R149" s="118">
        <f>Q149*0.855</f>
        <v>73.9575</v>
      </c>
      <c r="S149" s="117">
        <f>1.11*C149</f>
        <v>84.24900000000001</v>
      </c>
      <c r="T149" s="116"/>
      <c r="V149" s="131"/>
    </row>
    <row r="150" spans="1:22" s="114" customFormat="1" ht="15">
      <c r="A150" s="12" t="s">
        <v>60</v>
      </c>
      <c r="B150" s="65">
        <v>42012.520833333336</v>
      </c>
      <c r="C150" s="14">
        <v>78</v>
      </c>
      <c r="D150" s="15">
        <v>110</v>
      </c>
      <c r="E150" s="15">
        <f t="shared" si="41"/>
        <v>8591</v>
      </c>
      <c r="F150" s="13"/>
      <c r="G150" s="14">
        <v>84.79</v>
      </c>
      <c r="H150" s="15">
        <f t="shared" si="42"/>
        <v>9326.900000000001</v>
      </c>
      <c r="I150" s="16">
        <f t="shared" si="43"/>
        <v>735.9000000000015</v>
      </c>
      <c r="J150" s="19">
        <f t="shared" si="46"/>
        <v>0.08565941101152386</v>
      </c>
      <c r="K150" s="95" t="s">
        <v>87</v>
      </c>
      <c r="L150" s="119">
        <v>73.96</v>
      </c>
      <c r="M150" s="41">
        <f t="shared" si="45"/>
        <v>72.54</v>
      </c>
      <c r="N150" s="118">
        <v>97.93</v>
      </c>
      <c r="P150" s="116" t="s">
        <v>60</v>
      </c>
      <c r="Q150" s="117"/>
      <c r="R150" s="118"/>
      <c r="S150" s="117"/>
      <c r="T150" s="116"/>
      <c r="V150" s="131"/>
    </row>
    <row r="151" spans="1:20" s="114" customFormat="1" ht="15">
      <c r="A151" s="12" t="s">
        <v>60</v>
      </c>
      <c r="B151" s="65">
        <v>42013.274305555555</v>
      </c>
      <c r="C151" s="14">
        <v>79.2</v>
      </c>
      <c r="D151" s="15">
        <v>70</v>
      </c>
      <c r="E151" s="15">
        <f t="shared" si="41"/>
        <v>5555</v>
      </c>
      <c r="F151" s="13"/>
      <c r="G151" s="14">
        <v>84.79</v>
      </c>
      <c r="H151" s="15">
        <f t="shared" si="42"/>
        <v>5935.3</v>
      </c>
      <c r="I151" s="16">
        <f t="shared" si="43"/>
        <v>380.3000000000002</v>
      </c>
      <c r="J151" s="19">
        <f t="shared" si="46"/>
        <v>0.06846084608460849</v>
      </c>
      <c r="K151" s="95" t="s">
        <v>88</v>
      </c>
      <c r="L151" s="119">
        <v>73.96</v>
      </c>
      <c r="M151" s="41">
        <f t="shared" si="45"/>
        <v>73.656</v>
      </c>
      <c r="N151" s="118">
        <v>97.93</v>
      </c>
      <c r="O151" s="116"/>
      <c r="P151" s="116" t="s">
        <v>60</v>
      </c>
      <c r="Q151" s="117"/>
      <c r="R151" s="118"/>
      <c r="S151" s="117"/>
      <c r="T151" s="116"/>
    </row>
    <row r="152" spans="1:20" s="114" customFormat="1" ht="15">
      <c r="A152" s="12" t="s">
        <v>73</v>
      </c>
      <c r="B152" s="65">
        <v>42017.27847222222</v>
      </c>
      <c r="C152" s="14">
        <v>21.2</v>
      </c>
      <c r="D152" s="15">
        <v>680</v>
      </c>
      <c r="E152" s="15">
        <f t="shared" si="41"/>
        <v>14427</v>
      </c>
      <c r="F152" s="13"/>
      <c r="G152" s="14">
        <v>23.23</v>
      </c>
      <c r="H152" s="15">
        <f t="shared" si="42"/>
        <v>15796.4</v>
      </c>
      <c r="I152" s="16">
        <f t="shared" si="43"/>
        <v>1369.3999999999996</v>
      </c>
      <c r="J152" s="19">
        <f t="shared" si="46"/>
        <v>0.094919248631039</v>
      </c>
      <c r="K152" s="95" t="s">
        <v>111</v>
      </c>
      <c r="L152" s="119">
        <v>20.67</v>
      </c>
      <c r="M152" s="41">
        <f t="shared" si="45"/>
        <v>19.716</v>
      </c>
      <c r="N152" s="118">
        <v>26.43</v>
      </c>
      <c r="O152" s="121">
        <f>WORKDAY(B152,40,'Weekly Summary'!P$2:P$10)</f>
        <v>42075</v>
      </c>
      <c r="P152" s="116" t="s">
        <v>73</v>
      </c>
      <c r="Q152" s="117">
        <v>24.17</v>
      </c>
      <c r="R152" s="118">
        <f>Q152*0.855</f>
        <v>20.66535</v>
      </c>
      <c r="S152" s="117">
        <f>1.11*C152</f>
        <v>23.532</v>
      </c>
      <c r="T152" s="116"/>
    </row>
    <row r="153" spans="1:20" s="114" customFormat="1" ht="15">
      <c r="A153" s="12" t="s">
        <v>73</v>
      </c>
      <c r="B153" s="65">
        <v>42020.5375</v>
      </c>
      <c r="C153" s="14">
        <v>21.73</v>
      </c>
      <c r="D153" s="15">
        <v>400</v>
      </c>
      <c r="E153" s="15">
        <f t="shared" si="41"/>
        <v>8703</v>
      </c>
      <c r="F153" s="13"/>
      <c r="G153" s="14">
        <v>23.23</v>
      </c>
      <c r="H153" s="15">
        <f t="shared" si="42"/>
        <v>9292</v>
      </c>
      <c r="I153" s="16">
        <f t="shared" si="43"/>
        <v>589</v>
      </c>
      <c r="J153" s="19">
        <f t="shared" si="46"/>
        <v>0.0676778122486499</v>
      </c>
      <c r="K153" s="95" t="s">
        <v>119</v>
      </c>
      <c r="L153" s="119">
        <v>20.67</v>
      </c>
      <c r="M153" s="41">
        <f t="shared" si="45"/>
        <v>20.2089</v>
      </c>
      <c r="N153" s="118">
        <v>26.43</v>
      </c>
      <c r="O153" s="116"/>
      <c r="P153" s="116" t="s">
        <v>73</v>
      </c>
      <c r="Q153" s="117"/>
      <c r="R153" s="118"/>
      <c r="S153" s="117"/>
      <c r="T153" s="116"/>
    </row>
    <row r="154" spans="1:20" s="114" customFormat="1" ht="15">
      <c r="A154" s="12" t="s">
        <v>73</v>
      </c>
      <c r="B154" s="65">
        <v>42024.39791666667</v>
      </c>
      <c r="C154" s="14">
        <v>22.2</v>
      </c>
      <c r="D154" s="15">
        <v>260</v>
      </c>
      <c r="E154" s="15">
        <f t="shared" si="41"/>
        <v>5783</v>
      </c>
      <c r="F154" s="13"/>
      <c r="G154" s="14">
        <v>23.23</v>
      </c>
      <c r="H154" s="15">
        <f t="shared" si="42"/>
        <v>6039.8</v>
      </c>
      <c r="I154" s="16">
        <f t="shared" si="43"/>
        <v>256.8000000000002</v>
      </c>
      <c r="J154" s="19">
        <f t="shared" si="46"/>
        <v>0.044406017637904235</v>
      </c>
      <c r="K154" s="95" t="s">
        <v>118</v>
      </c>
      <c r="L154" s="119">
        <v>20.67</v>
      </c>
      <c r="M154" s="41">
        <f t="shared" si="45"/>
        <v>20.646</v>
      </c>
      <c r="N154" s="118">
        <v>26.43</v>
      </c>
      <c r="O154" s="116"/>
      <c r="P154" s="116" t="s">
        <v>73</v>
      </c>
      <c r="Q154" s="117"/>
      <c r="R154" s="118"/>
      <c r="S154" s="117"/>
      <c r="T154" s="116"/>
    </row>
    <row r="155" spans="1:20" s="114" customFormat="1" ht="15">
      <c r="A155" s="12" t="s">
        <v>58</v>
      </c>
      <c r="B155" s="65">
        <v>42020.27291666667</v>
      </c>
      <c r="C155" s="14">
        <v>40.8</v>
      </c>
      <c r="D155" s="15">
        <v>350</v>
      </c>
      <c r="E155" s="15">
        <f t="shared" si="41"/>
        <v>14290.999999999998</v>
      </c>
      <c r="F155" s="13"/>
      <c r="G155" s="14">
        <v>47.28</v>
      </c>
      <c r="H155" s="15">
        <f t="shared" si="42"/>
        <v>16548</v>
      </c>
      <c r="I155" s="16">
        <f t="shared" si="43"/>
        <v>2257.000000000002</v>
      </c>
      <c r="J155" s="19">
        <f t="shared" si="46"/>
        <v>0.15793156532083144</v>
      </c>
      <c r="K155" s="95" t="s">
        <v>120</v>
      </c>
      <c r="L155" s="119">
        <v>41.04</v>
      </c>
      <c r="M155" s="41">
        <f t="shared" si="45"/>
        <v>37.944</v>
      </c>
      <c r="N155" s="118">
        <v>56.56</v>
      </c>
      <c r="O155" s="121">
        <f>WORKDAY(B158,40,'Weekly Summary'!P$2:P$10)</f>
        <v>42100</v>
      </c>
      <c r="P155" s="116" t="s">
        <v>58</v>
      </c>
      <c r="Q155" s="117">
        <v>48</v>
      </c>
      <c r="R155" s="118">
        <f>Q155*0.855</f>
        <v>41.04</v>
      </c>
      <c r="S155" s="117">
        <f>1.11*C155</f>
        <v>45.288000000000004</v>
      </c>
      <c r="T155" s="116"/>
    </row>
    <row r="156" spans="1:20" s="114" customFormat="1" ht="15">
      <c r="A156" s="12" t="s">
        <v>58</v>
      </c>
      <c r="B156" s="65">
        <v>42024.35486111111</v>
      </c>
      <c r="C156" s="14">
        <v>42.9</v>
      </c>
      <c r="D156" s="15">
        <v>200</v>
      </c>
      <c r="E156" s="15">
        <f t="shared" si="41"/>
        <v>8591</v>
      </c>
      <c r="F156" s="13"/>
      <c r="G156" s="14">
        <v>47.28</v>
      </c>
      <c r="H156" s="15">
        <f t="shared" si="42"/>
        <v>9456</v>
      </c>
      <c r="I156" s="16">
        <f t="shared" si="43"/>
        <v>865</v>
      </c>
      <c r="J156" s="19">
        <f t="shared" si="46"/>
        <v>0.10068676521941566</v>
      </c>
      <c r="K156" s="95" t="s">
        <v>121</v>
      </c>
      <c r="L156" s="119">
        <v>41.04</v>
      </c>
      <c r="M156" s="41">
        <f t="shared" si="45"/>
        <v>39.897</v>
      </c>
      <c r="N156" s="118">
        <v>56.56</v>
      </c>
      <c r="O156" s="116"/>
      <c r="P156" s="116" t="s">
        <v>58</v>
      </c>
      <c r="Q156" s="117"/>
      <c r="R156" s="118"/>
      <c r="S156" s="117"/>
      <c r="T156" s="116"/>
    </row>
    <row r="157" spans="1:20" s="114" customFormat="1" ht="15">
      <c r="A157" s="12" t="s">
        <v>58</v>
      </c>
      <c r="B157" s="65">
        <v>42039.3375</v>
      </c>
      <c r="C157" s="14">
        <v>43.9</v>
      </c>
      <c r="D157" s="15">
        <v>130</v>
      </c>
      <c r="E157" s="15">
        <f t="shared" si="41"/>
        <v>5718</v>
      </c>
      <c r="F157" s="13"/>
      <c r="G157" s="14">
        <v>47.28</v>
      </c>
      <c r="H157" s="15">
        <f t="shared" si="42"/>
        <v>6146.400000000001</v>
      </c>
      <c r="I157" s="16">
        <f t="shared" si="43"/>
        <v>428.40000000000055</v>
      </c>
      <c r="J157" s="19">
        <f t="shared" si="46"/>
        <v>0.07492130115424983</v>
      </c>
      <c r="K157" s="95" t="s">
        <v>130</v>
      </c>
      <c r="L157" s="119">
        <v>41.04</v>
      </c>
      <c r="M157" s="41">
        <f t="shared" si="45"/>
        <v>40.827</v>
      </c>
      <c r="N157" s="118">
        <v>56.56</v>
      </c>
      <c r="O157" s="116"/>
      <c r="P157" s="116" t="s">
        <v>58</v>
      </c>
      <c r="Q157" s="117"/>
      <c r="R157" s="118"/>
      <c r="S157" s="117"/>
      <c r="T157" s="116"/>
    </row>
    <row r="158" spans="1:20" s="114" customFormat="1" ht="15">
      <c r="A158" s="12" t="s">
        <v>61</v>
      </c>
      <c r="B158" s="65">
        <v>42040.27847222222</v>
      </c>
      <c r="C158" s="14">
        <v>132.85</v>
      </c>
      <c r="D158" s="15">
        <v>110</v>
      </c>
      <c r="E158" s="15">
        <f t="shared" si="41"/>
        <v>14624.5</v>
      </c>
      <c r="F158" s="13"/>
      <c r="G158" s="14">
        <v>136.66</v>
      </c>
      <c r="H158" s="15">
        <f t="shared" si="42"/>
        <v>15032.6</v>
      </c>
      <c r="I158" s="16">
        <f t="shared" si="43"/>
        <v>408.10000000000036</v>
      </c>
      <c r="J158" s="19">
        <f t="shared" si="46"/>
        <v>0.02790522752914632</v>
      </c>
      <c r="K158" s="95" t="s">
        <v>134</v>
      </c>
      <c r="L158" s="119"/>
      <c r="M158" s="20">
        <f t="shared" si="45"/>
        <v>123.5505</v>
      </c>
      <c r="N158" s="118">
        <v>168.13</v>
      </c>
      <c r="O158" s="121">
        <v>42086</v>
      </c>
      <c r="P158" s="116" t="s">
        <v>61</v>
      </c>
      <c r="Q158" s="117">
        <v>138.11</v>
      </c>
      <c r="R158" s="118"/>
      <c r="S158" s="117">
        <f>1.11*C158</f>
        <v>147.4635</v>
      </c>
      <c r="T158" s="116"/>
    </row>
    <row r="159" spans="1:20" s="114" customFormat="1" ht="15">
      <c r="A159" s="85" t="s">
        <v>61</v>
      </c>
      <c r="B159" s="65">
        <v>42045.27291666667</v>
      </c>
      <c r="C159" s="14">
        <v>135.9</v>
      </c>
      <c r="D159" s="15">
        <v>65</v>
      </c>
      <c r="E159" s="15">
        <f t="shared" si="41"/>
        <v>8844.5</v>
      </c>
      <c r="F159" s="13"/>
      <c r="G159" s="14">
        <v>136.66</v>
      </c>
      <c r="H159" s="15">
        <f t="shared" si="42"/>
        <v>8882.9</v>
      </c>
      <c r="I159" s="16">
        <f t="shared" si="43"/>
        <v>38.399999999999636</v>
      </c>
      <c r="J159" s="19">
        <f t="shared" si="46"/>
        <v>0.004341681270846247</v>
      </c>
      <c r="K159" s="95" t="s">
        <v>133</v>
      </c>
      <c r="L159" s="119"/>
      <c r="M159" s="20">
        <f t="shared" si="45"/>
        <v>126.38700000000001</v>
      </c>
      <c r="N159" s="118"/>
      <c r="O159" s="116"/>
      <c r="P159" s="116" t="s">
        <v>61</v>
      </c>
      <c r="Q159" s="117"/>
      <c r="R159" s="118"/>
      <c r="S159" s="117"/>
      <c r="T159" s="116"/>
    </row>
    <row r="160" spans="1:20" s="114" customFormat="1" ht="15">
      <c r="A160" s="85" t="s">
        <v>52</v>
      </c>
      <c r="B160" s="65">
        <v>42046.27361111111</v>
      </c>
      <c r="C160" s="14">
        <v>129.75</v>
      </c>
      <c r="D160" s="15">
        <v>80</v>
      </c>
      <c r="E160" s="15">
        <f t="shared" si="41"/>
        <v>10391</v>
      </c>
      <c r="F160" s="13"/>
      <c r="G160" s="14">
        <v>135.27</v>
      </c>
      <c r="H160" s="15">
        <f t="shared" si="42"/>
        <v>10821.6</v>
      </c>
      <c r="I160" s="16">
        <f t="shared" si="43"/>
        <v>430.60000000000036</v>
      </c>
      <c r="J160" s="19">
        <f t="shared" si="46"/>
        <v>0.04143970743913005</v>
      </c>
      <c r="K160" s="95" t="s">
        <v>135</v>
      </c>
      <c r="L160" s="119"/>
      <c r="M160" s="20">
        <f t="shared" si="45"/>
        <v>120.6675</v>
      </c>
      <c r="N160" s="118"/>
      <c r="O160" s="121">
        <f>WORKDAY(B160,40,'Weekly Summary'!P$2:P$10)</f>
        <v>42104</v>
      </c>
      <c r="P160" s="116" t="s">
        <v>52</v>
      </c>
      <c r="Q160" s="117">
        <v>161.78</v>
      </c>
      <c r="R160" s="118"/>
      <c r="S160" s="117">
        <f>1.11*C160</f>
        <v>144.0225</v>
      </c>
      <c r="T160" s="116"/>
    </row>
    <row r="161" spans="1:20" s="114" customFormat="1" ht="15">
      <c r="A161" s="85" t="s">
        <v>52</v>
      </c>
      <c r="B161" s="65">
        <v>42047.275</v>
      </c>
      <c r="C161" s="14">
        <v>133.95</v>
      </c>
      <c r="D161" s="15">
        <v>45</v>
      </c>
      <c r="E161" s="15">
        <f t="shared" si="41"/>
        <v>6038.749999999999</v>
      </c>
      <c r="F161" s="13"/>
      <c r="G161" s="14">
        <v>135.27</v>
      </c>
      <c r="H161" s="15">
        <f t="shared" si="42"/>
        <v>6087.150000000001</v>
      </c>
      <c r="I161" s="16">
        <f t="shared" si="43"/>
        <v>48.400000000001455</v>
      </c>
      <c r="J161" s="19">
        <f t="shared" si="46"/>
        <v>0.00801490374663655</v>
      </c>
      <c r="K161" s="95" t="s">
        <v>142</v>
      </c>
      <c r="L161" s="119"/>
      <c r="M161" s="20">
        <f t="shared" si="45"/>
        <v>124.5735</v>
      </c>
      <c r="N161" s="118"/>
      <c r="O161" s="116"/>
      <c r="P161" s="116" t="s">
        <v>52</v>
      </c>
      <c r="Q161" s="117"/>
      <c r="R161" s="118"/>
      <c r="S161" s="117"/>
      <c r="T161" s="116"/>
    </row>
    <row r="162" spans="1:20" s="114" customFormat="1" ht="15">
      <c r="A162" s="85" t="s">
        <v>52</v>
      </c>
      <c r="B162" s="65">
        <v>42048.450694444444</v>
      </c>
      <c r="C162" s="14">
        <v>135.8</v>
      </c>
      <c r="D162" s="15">
        <v>30</v>
      </c>
      <c r="E162" s="15">
        <f t="shared" si="41"/>
        <v>4085.0000000000005</v>
      </c>
      <c r="F162" s="13"/>
      <c r="G162" s="14">
        <v>135.27</v>
      </c>
      <c r="H162" s="15">
        <f t="shared" si="42"/>
        <v>4058.1000000000004</v>
      </c>
      <c r="I162" s="16">
        <f t="shared" si="43"/>
        <v>-26.90000000000009</v>
      </c>
      <c r="J162" s="19">
        <f t="shared" si="46"/>
        <v>-0.006585067319461466</v>
      </c>
      <c r="K162" s="95" t="s">
        <v>143</v>
      </c>
      <c r="L162" s="119"/>
      <c r="M162" s="20">
        <f t="shared" si="45"/>
        <v>126.29400000000001</v>
      </c>
      <c r="N162" s="118"/>
      <c r="O162" s="116"/>
      <c r="P162" s="116"/>
      <c r="Q162" s="117"/>
      <c r="R162" s="118"/>
      <c r="S162" s="117"/>
      <c r="T162" s="116"/>
    </row>
    <row r="163" spans="1:20" s="114" customFormat="1" ht="15">
      <c r="A163" s="12"/>
      <c r="B163" s="13"/>
      <c r="C163" s="14"/>
      <c r="D163" s="15"/>
      <c r="E163" s="15"/>
      <c r="F163" s="13"/>
      <c r="G163" s="14"/>
      <c r="H163" s="15"/>
      <c r="I163" s="16"/>
      <c r="J163" s="19"/>
      <c r="K163" s="95"/>
      <c r="L163" s="119"/>
      <c r="M163" s="32"/>
      <c r="N163" s="118"/>
      <c r="Q163" s="117"/>
      <c r="R163" s="117"/>
      <c r="S163" s="117"/>
      <c r="T163" s="116"/>
    </row>
    <row r="164" spans="1:20" s="114" customFormat="1" ht="15">
      <c r="A164" s="21" t="s">
        <v>14</v>
      </c>
      <c r="B164" s="22"/>
      <c r="C164" s="23"/>
      <c r="D164" s="24"/>
      <c r="E164" s="24">
        <f>SUM(E139:E163)</f>
        <v>223920.05</v>
      </c>
      <c r="F164" s="22"/>
      <c r="G164" s="23"/>
      <c r="H164" s="24">
        <f>SUM(H139:H163)</f>
        <v>241950.94999999998</v>
      </c>
      <c r="I164" s="25">
        <f>SUM(I139:I163)</f>
        <v>18030.899999999994</v>
      </c>
      <c r="J164" s="26">
        <f>I164/E164</f>
        <v>0.08052382982229593</v>
      </c>
      <c r="K164" s="27" t="s">
        <v>15</v>
      </c>
      <c r="L164" s="28">
        <f>100000+I166</f>
        <v>115330.76</v>
      </c>
      <c r="M164" s="81"/>
      <c r="N164" s="89"/>
      <c r="Q164" s="117"/>
      <c r="R164" s="117"/>
      <c r="S164" s="117"/>
      <c r="T164" s="116"/>
    </row>
    <row r="165" spans="1:20" s="114" customFormat="1" ht="15">
      <c r="A165" s="12" t="s">
        <v>67</v>
      </c>
      <c r="B165" s="22"/>
      <c r="C165" s="25">
        <f>I166-I134</f>
        <v>4796.549999999996</v>
      </c>
      <c r="D165" s="26">
        <f>C165/H132</f>
        <v>0.02382560228373702</v>
      </c>
      <c r="E165" s="24"/>
      <c r="F165" s="22" t="s">
        <v>16</v>
      </c>
      <c r="G165" s="117"/>
      <c r="H165" s="29" t="str">
        <f>IF(ABS(H164-E164-I164)&lt;1,"","ERROR")</f>
        <v/>
      </c>
      <c r="I165" s="30">
        <v>-2700.1399999999994</v>
      </c>
      <c r="J165" s="26"/>
      <c r="K165" s="111" t="s">
        <v>17</v>
      </c>
      <c r="L165" s="28">
        <f>(2*(100000+I166))-E164</f>
        <v>6741.470000000001</v>
      </c>
      <c r="M165" s="31"/>
      <c r="Q165" s="117"/>
      <c r="R165" s="117"/>
      <c r="S165" s="117"/>
      <c r="T165" s="116"/>
    </row>
    <row r="166" spans="1:20" s="114" customFormat="1" ht="15">
      <c r="A166" s="12" t="s">
        <v>54</v>
      </c>
      <c r="B166" s="22"/>
      <c r="C166" s="25">
        <f>L164-L132</f>
        <v>4796.550000000003</v>
      </c>
      <c r="D166" s="26">
        <f>C166/L132</f>
        <v>0.04339425775965652</v>
      </c>
      <c r="E166" s="24"/>
      <c r="F166" s="22" t="s">
        <v>18</v>
      </c>
      <c r="G166" s="117"/>
      <c r="H166" s="29"/>
      <c r="I166" s="30">
        <f>I164+I165</f>
        <v>15330.759999999995</v>
      </c>
      <c r="J166" s="26">
        <f>I166/100000</f>
        <v>0.15330759999999996</v>
      </c>
      <c r="K166" s="111" t="s">
        <v>19</v>
      </c>
      <c r="L166" s="26">
        <f>E164/(2*(100000+I166))</f>
        <v>0.9707733218787425</v>
      </c>
      <c r="M166" s="31"/>
      <c r="Q166" s="117"/>
      <c r="R166" s="117"/>
      <c r="S166" s="117"/>
      <c r="T166" s="116"/>
    </row>
    <row r="167" spans="2:20" s="114" customFormat="1" ht="15">
      <c r="B167" s="22"/>
      <c r="C167" s="25"/>
      <c r="D167" s="26"/>
      <c r="E167" s="24"/>
      <c r="F167" s="22"/>
      <c r="G167" s="117"/>
      <c r="H167" s="29"/>
      <c r="I167" s="30"/>
      <c r="J167" s="26"/>
      <c r="K167" s="111"/>
      <c r="L167" s="26"/>
      <c r="M167" s="31"/>
      <c r="Q167" s="117"/>
      <c r="R167" s="117"/>
      <c r="S167" s="117"/>
      <c r="T167" s="116"/>
    </row>
    <row r="168" spans="1:20" s="114" customFormat="1" ht="15">
      <c r="A168" s="12"/>
      <c r="B168" s="22"/>
      <c r="C168" s="25"/>
      <c r="D168" s="26"/>
      <c r="E168" s="24"/>
      <c r="F168" s="22"/>
      <c r="G168" s="117"/>
      <c r="H168" s="29"/>
      <c r="I168" s="30"/>
      <c r="J168" s="26"/>
      <c r="K168" s="111"/>
      <c r="L168" s="26"/>
      <c r="M168" s="31"/>
      <c r="Q168" s="117"/>
      <c r="R168" s="117"/>
      <c r="S168" s="117"/>
      <c r="T168" s="116"/>
    </row>
    <row r="169" spans="1:20" s="114" customFormat="1" ht="30.75" customHeight="1">
      <c r="A169" s="108" t="s">
        <v>56</v>
      </c>
      <c r="B169" s="384" t="s">
        <v>137</v>
      </c>
      <c r="C169" s="384"/>
      <c r="D169" s="384"/>
      <c r="E169" s="384"/>
      <c r="F169" s="384"/>
      <c r="G169" s="384"/>
      <c r="H169" s="384"/>
      <c r="I169" s="384"/>
      <c r="J169" s="384"/>
      <c r="K169" s="384"/>
      <c r="L169" s="384"/>
      <c r="M169" s="384"/>
      <c r="N169" s="384"/>
      <c r="O169" s="92"/>
      <c r="P169" s="92"/>
      <c r="Q169" s="104"/>
      <c r="R169" s="104"/>
      <c r="S169" s="107"/>
      <c r="T169" s="109"/>
    </row>
    <row r="170" spans="1:22" s="114" customFormat="1" ht="15">
      <c r="A170" s="2" t="s">
        <v>0</v>
      </c>
      <c r="B170" s="3" t="s">
        <v>1</v>
      </c>
      <c r="C170" s="4" t="s">
        <v>2</v>
      </c>
      <c r="D170" s="5" t="s">
        <v>3</v>
      </c>
      <c r="E170" s="6" t="s">
        <v>4</v>
      </c>
      <c r="F170" s="3" t="s">
        <v>5</v>
      </c>
      <c r="G170" s="7" t="s">
        <v>2</v>
      </c>
      <c r="H170" s="6" t="s">
        <v>6</v>
      </c>
      <c r="I170" s="6" t="s">
        <v>7</v>
      </c>
      <c r="J170" s="8" t="s">
        <v>8</v>
      </c>
      <c r="K170" s="9" t="s">
        <v>9</v>
      </c>
      <c r="L170" s="10" t="s">
        <v>10</v>
      </c>
      <c r="M170" s="11" t="s">
        <v>11</v>
      </c>
      <c r="N170" s="103" t="s">
        <v>53</v>
      </c>
      <c r="O170" s="105" t="s">
        <v>110</v>
      </c>
      <c r="P170" s="106" t="s">
        <v>0</v>
      </c>
      <c r="Q170" s="117" t="s">
        <v>13</v>
      </c>
      <c r="R170" s="117" t="s">
        <v>70</v>
      </c>
      <c r="S170" s="111" t="s">
        <v>103</v>
      </c>
      <c r="T170" s="116" t="s">
        <v>107</v>
      </c>
      <c r="V170" s="9"/>
    </row>
    <row r="171" spans="1:22" s="114" customFormat="1" ht="15">
      <c r="A171" s="12" t="s">
        <v>92</v>
      </c>
      <c r="B171" s="65">
        <v>42010.447916666664</v>
      </c>
      <c r="C171" s="14">
        <v>111.9</v>
      </c>
      <c r="D171" s="15">
        <v>130</v>
      </c>
      <c r="E171" s="15">
        <f aca="true" t="shared" si="47" ref="E171:E196">C171*D171+11</f>
        <v>14558</v>
      </c>
      <c r="F171" s="13"/>
      <c r="G171" s="14">
        <v>121.26</v>
      </c>
      <c r="H171" s="15">
        <f aca="true" t="shared" si="48" ref="H171:H196">G171*D171</f>
        <v>15763.800000000001</v>
      </c>
      <c r="I171" s="16">
        <f aca="true" t="shared" si="49" ref="I171:I196">H171-E171</f>
        <v>1205.800000000001</v>
      </c>
      <c r="J171" s="19">
        <f aca="true" t="shared" si="50" ref="J171">I171/E171</f>
        <v>0.08282731144387973</v>
      </c>
      <c r="K171" s="95" t="s">
        <v>93</v>
      </c>
      <c r="L171" s="97"/>
      <c r="M171" s="20">
        <f aca="true" t="shared" si="51" ref="M171:M196">C171*0.93</f>
        <v>104.06700000000001</v>
      </c>
      <c r="N171" s="118">
        <v>141.88</v>
      </c>
      <c r="O171" s="121">
        <f>WORKDAY(B172,40,'Weekly Summary'!P$2:P$10)</f>
        <v>42069</v>
      </c>
      <c r="P171" s="116" t="s">
        <v>92</v>
      </c>
      <c r="Q171" s="117">
        <v>122.27</v>
      </c>
      <c r="R171" s="118"/>
      <c r="S171" s="117">
        <f>1.11*C171</f>
        <v>124.20900000000002</v>
      </c>
      <c r="T171" s="116"/>
      <c r="V171" s="131"/>
    </row>
    <row r="172" spans="1:22" s="114" customFormat="1" ht="15">
      <c r="A172" s="12" t="s">
        <v>92</v>
      </c>
      <c r="B172" s="65">
        <v>42011.34305555555</v>
      </c>
      <c r="C172" s="14">
        <v>114.4</v>
      </c>
      <c r="D172" s="15">
        <v>75</v>
      </c>
      <c r="E172" s="15">
        <f t="shared" si="47"/>
        <v>8591</v>
      </c>
      <c r="F172" s="13"/>
      <c r="G172" s="14">
        <v>121.26</v>
      </c>
      <c r="H172" s="15">
        <f t="shared" si="48"/>
        <v>9094.5</v>
      </c>
      <c r="I172" s="16">
        <f t="shared" si="49"/>
        <v>503.5</v>
      </c>
      <c r="J172" s="19">
        <f>I172/E172</f>
        <v>0.05860784541962519</v>
      </c>
      <c r="K172" s="95" t="s">
        <v>94</v>
      </c>
      <c r="L172" s="97"/>
      <c r="M172" s="20">
        <f t="shared" si="51"/>
        <v>106.39200000000001</v>
      </c>
      <c r="N172" s="118">
        <v>141.88</v>
      </c>
      <c r="O172" s="116"/>
      <c r="P172" s="116" t="s">
        <v>92</v>
      </c>
      <c r="Q172" s="117"/>
      <c r="R172" s="118"/>
      <c r="S172" s="117"/>
      <c r="T172" s="116"/>
      <c r="V172" s="131"/>
    </row>
    <row r="173" spans="1:22" s="114" customFormat="1" ht="15">
      <c r="A173" s="12" t="s">
        <v>92</v>
      </c>
      <c r="B173" s="65">
        <v>42012.39513888889</v>
      </c>
      <c r="C173" s="14">
        <v>117.75</v>
      </c>
      <c r="D173" s="15">
        <v>50</v>
      </c>
      <c r="E173" s="15">
        <f t="shared" si="47"/>
        <v>5898.5</v>
      </c>
      <c r="F173" s="13"/>
      <c r="G173" s="14">
        <v>121.26</v>
      </c>
      <c r="H173" s="15">
        <f t="shared" si="48"/>
        <v>6063</v>
      </c>
      <c r="I173" s="16">
        <f t="shared" si="49"/>
        <v>164.5</v>
      </c>
      <c r="J173" s="19">
        <f>I173/E173</f>
        <v>0.027888446215139442</v>
      </c>
      <c r="K173" s="95" t="s">
        <v>95</v>
      </c>
      <c r="L173" s="97"/>
      <c r="M173" s="20">
        <f t="shared" si="51"/>
        <v>109.50750000000001</v>
      </c>
      <c r="N173" s="118">
        <v>141.88</v>
      </c>
      <c r="O173" s="116"/>
      <c r="P173" s="116" t="s">
        <v>92</v>
      </c>
      <c r="Q173" s="117"/>
      <c r="R173" s="118"/>
      <c r="S173" s="117"/>
      <c r="T173" s="116"/>
      <c r="V173" s="131"/>
    </row>
    <row r="174" spans="1:22" s="114" customFormat="1" ht="15">
      <c r="A174" s="12" t="s">
        <v>64</v>
      </c>
      <c r="B174" s="65">
        <v>42011.27291666667</v>
      </c>
      <c r="C174" s="14">
        <v>70.75</v>
      </c>
      <c r="D174" s="15">
        <v>200</v>
      </c>
      <c r="E174" s="15">
        <f t="shared" si="47"/>
        <v>14161</v>
      </c>
      <c r="F174" s="13"/>
      <c r="G174" s="14">
        <v>84.3</v>
      </c>
      <c r="H174" s="15">
        <f t="shared" si="48"/>
        <v>16860</v>
      </c>
      <c r="I174" s="16">
        <f t="shared" si="49"/>
        <v>2699</v>
      </c>
      <c r="J174" s="19">
        <f aca="true" t="shared" si="52" ref="J174:J196">I174/E174</f>
        <v>0.1905938846126686</v>
      </c>
      <c r="K174" s="95" t="s">
        <v>74</v>
      </c>
      <c r="L174" s="97">
        <v>72.63</v>
      </c>
      <c r="M174" s="41">
        <f t="shared" si="51"/>
        <v>65.7975</v>
      </c>
      <c r="N174" s="118">
        <v>93.71</v>
      </c>
      <c r="O174" s="121">
        <f>WORKDAY(B176,40,'Weekly Summary'!P$2:P$10)</f>
        <v>42081</v>
      </c>
      <c r="P174" s="116" t="s">
        <v>79</v>
      </c>
      <c r="Q174" s="117">
        <v>84.95</v>
      </c>
      <c r="R174" s="118">
        <f>Q174*0.855</f>
        <v>72.63225</v>
      </c>
      <c r="S174" s="117">
        <f>1.11*C174</f>
        <v>78.53250000000001</v>
      </c>
      <c r="T174" s="116"/>
      <c r="V174" s="131"/>
    </row>
    <row r="175" spans="1:22" s="114" customFormat="1" ht="15">
      <c r="A175" s="12" t="s">
        <v>64</v>
      </c>
      <c r="B175" s="65">
        <v>42012.27847222222</v>
      </c>
      <c r="C175" s="14">
        <v>72.34</v>
      </c>
      <c r="D175" s="15">
        <v>120</v>
      </c>
      <c r="E175" s="15">
        <f t="shared" si="47"/>
        <v>8691.800000000001</v>
      </c>
      <c r="F175" s="13"/>
      <c r="G175" s="14">
        <v>84.3</v>
      </c>
      <c r="H175" s="15">
        <f t="shared" si="48"/>
        <v>10116</v>
      </c>
      <c r="I175" s="16">
        <f t="shared" si="49"/>
        <v>1424.199999999999</v>
      </c>
      <c r="J175" s="19">
        <f t="shared" si="52"/>
        <v>0.16385558802549516</v>
      </c>
      <c r="K175" s="95" t="s">
        <v>117</v>
      </c>
      <c r="L175" s="97">
        <v>72.63</v>
      </c>
      <c r="M175" s="41">
        <f t="shared" si="51"/>
        <v>67.2762</v>
      </c>
      <c r="N175" s="118">
        <v>93.71</v>
      </c>
      <c r="O175" s="116"/>
      <c r="P175" s="116" t="s">
        <v>79</v>
      </c>
      <c r="Q175" s="117"/>
      <c r="R175" s="118"/>
      <c r="S175" s="117"/>
      <c r="T175" s="116"/>
      <c r="V175" s="131"/>
    </row>
    <row r="176" spans="1:22" s="114" customFormat="1" ht="15">
      <c r="A176" s="12" t="s">
        <v>64</v>
      </c>
      <c r="B176" s="65">
        <v>42024.27291666667</v>
      </c>
      <c r="C176" s="14">
        <v>75.2</v>
      </c>
      <c r="D176" s="15">
        <v>80</v>
      </c>
      <c r="E176" s="15">
        <f t="shared" si="47"/>
        <v>6027</v>
      </c>
      <c r="F176" s="13"/>
      <c r="G176" s="14">
        <v>84.3</v>
      </c>
      <c r="H176" s="15">
        <f t="shared" si="48"/>
        <v>6744</v>
      </c>
      <c r="I176" s="16">
        <f t="shared" si="49"/>
        <v>717</v>
      </c>
      <c r="J176" s="19">
        <f t="shared" si="52"/>
        <v>0.11896465903434544</v>
      </c>
      <c r="K176" s="95" t="s">
        <v>138</v>
      </c>
      <c r="L176" s="97">
        <v>72.63</v>
      </c>
      <c r="M176" s="41">
        <f t="shared" si="51"/>
        <v>69.936</v>
      </c>
      <c r="N176" s="118">
        <v>93.71</v>
      </c>
      <c r="O176" s="116"/>
      <c r="P176" s="116" t="s">
        <v>79</v>
      </c>
      <c r="Q176" s="117"/>
      <c r="R176" s="118"/>
      <c r="S176" s="117"/>
      <c r="T176" s="116"/>
      <c r="V176" s="131"/>
    </row>
    <row r="177" spans="1:22" s="114" customFormat="1" ht="15">
      <c r="A177" s="85" t="s">
        <v>64</v>
      </c>
      <c r="B177" s="65">
        <v>42052.277083333334</v>
      </c>
      <c r="C177" s="14">
        <v>81.6</v>
      </c>
      <c r="D177" s="15">
        <v>80</v>
      </c>
      <c r="E177" s="15">
        <f t="shared" si="47"/>
        <v>6539</v>
      </c>
      <c r="F177" s="13"/>
      <c r="G177" s="14">
        <v>84.3</v>
      </c>
      <c r="H177" s="15">
        <f t="shared" si="48"/>
        <v>6744</v>
      </c>
      <c r="I177" s="16">
        <f t="shared" si="49"/>
        <v>205</v>
      </c>
      <c r="J177" s="19">
        <f t="shared" si="52"/>
        <v>0.03135035938216853</v>
      </c>
      <c r="K177" s="95" t="s">
        <v>139</v>
      </c>
      <c r="L177" s="97"/>
      <c r="M177" s="20">
        <f t="shared" si="51"/>
        <v>75.888</v>
      </c>
      <c r="N177" s="118"/>
      <c r="O177" s="116"/>
      <c r="P177" s="116"/>
      <c r="Q177" s="117"/>
      <c r="R177" s="118"/>
      <c r="S177" s="117"/>
      <c r="T177" s="116"/>
      <c r="V177" s="131"/>
    </row>
    <row r="178" spans="1:22" s="114" customFormat="1" ht="15">
      <c r="A178" s="12" t="s">
        <v>80</v>
      </c>
      <c r="B178" s="65">
        <v>42011.30486111111</v>
      </c>
      <c r="C178" s="14">
        <v>58.02</v>
      </c>
      <c r="D178" s="15">
        <v>250</v>
      </c>
      <c r="E178" s="15">
        <f t="shared" si="47"/>
        <v>14516</v>
      </c>
      <c r="F178" s="13"/>
      <c r="G178" s="14">
        <v>68.7</v>
      </c>
      <c r="H178" s="15">
        <f t="shared" si="48"/>
        <v>17175</v>
      </c>
      <c r="I178" s="16">
        <f t="shared" si="49"/>
        <v>2659</v>
      </c>
      <c r="J178" s="19">
        <f t="shared" si="52"/>
        <v>0.1831771837971893</v>
      </c>
      <c r="K178" s="95" t="s">
        <v>81</v>
      </c>
      <c r="L178" s="97">
        <v>59.08</v>
      </c>
      <c r="M178" s="41">
        <f t="shared" si="51"/>
        <v>53.958600000000004</v>
      </c>
      <c r="N178" s="118">
        <v>76.6</v>
      </c>
      <c r="O178" s="121">
        <v>42090</v>
      </c>
      <c r="P178" s="116" t="s">
        <v>80</v>
      </c>
      <c r="Q178" s="117">
        <v>69.1</v>
      </c>
      <c r="R178" s="118">
        <f>Q178*0.855</f>
        <v>59.080499999999994</v>
      </c>
      <c r="S178" s="117">
        <f>1.11*C178</f>
        <v>64.40220000000001</v>
      </c>
      <c r="T178" s="116"/>
      <c r="V178" s="131"/>
    </row>
    <row r="179" spans="1:22" s="114" customFormat="1" ht="15">
      <c r="A179" s="12" t="s">
        <v>80</v>
      </c>
      <c r="B179" s="65">
        <v>42011.40694444445</v>
      </c>
      <c r="C179" s="14">
        <v>59.16</v>
      </c>
      <c r="D179" s="15">
        <v>150</v>
      </c>
      <c r="E179" s="15">
        <f t="shared" si="47"/>
        <v>8885</v>
      </c>
      <c r="F179" s="13"/>
      <c r="G179" s="14">
        <v>68.7</v>
      </c>
      <c r="H179" s="15">
        <f t="shared" si="48"/>
        <v>10305</v>
      </c>
      <c r="I179" s="16">
        <f t="shared" si="49"/>
        <v>1420</v>
      </c>
      <c r="J179" s="122">
        <f t="shared" si="52"/>
        <v>0.1598199212155318</v>
      </c>
      <c r="K179" s="95" t="s">
        <v>82</v>
      </c>
      <c r="L179" s="97">
        <v>59.08</v>
      </c>
      <c r="M179" s="41">
        <f t="shared" si="51"/>
        <v>55.0188</v>
      </c>
      <c r="N179" s="118">
        <v>77.93</v>
      </c>
      <c r="O179" s="116"/>
      <c r="P179" s="116" t="s">
        <v>80</v>
      </c>
      <c r="Q179" s="117"/>
      <c r="R179" s="118"/>
      <c r="S179" s="117"/>
      <c r="T179" s="116"/>
      <c r="V179" s="131"/>
    </row>
    <row r="180" spans="1:22" s="114" customFormat="1" ht="15">
      <c r="A180" s="12" t="s">
        <v>80</v>
      </c>
      <c r="B180" s="65">
        <v>42012.29305555556</v>
      </c>
      <c r="C180" s="14">
        <v>60.3</v>
      </c>
      <c r="D180" s="15">
        <v>100</v>
      </c>
      <c r="E180" s="15">
        <f t="shared" si="47"/>
        <v>6041</v>
      </c>
      <c r="F180" s="13"/>
      <c r="G180" s="14">
        <v>68.7</v>
      </c>
      <c r="H180" s="15">
        <f t="shared" si="48"/>
        <v>6870</v>
      </c>
      <c r="I180" s="16">
        <f t="shared" si="49"/>
        <v>829</v>
      </c>
      <c r="J180" s="19">
        <f t="shared" si="52"/>
        <v>0.13722893560668764</v>
      </c>
      <c r="K180" s="95" t="s">
        <v>83</v>
      </c>
      <c r="L180" s="97">
        <v>59.08</v>
      </c>
      <c r="M180" s="41">
        <f t="shared" si="51"/>
        <v>56.079</v>
      </c>
      <c r="N180" s="118">
        <v>77.93</v>
      </c>
      <c r="O180" s="116"/>
      <c r="P180" s="116" t="s">
        <v>80</v>
      </c>
      <c r="Q180" s="117"/>
      <c r="R180" s="118"/>
      <c r="S180" s="117"/>
      <c r="T180" s="116"/>
      <c r="V180" s="131"/>
    </row>
    <row r="181" spans="1:22" s="114" customFormat="1" ht="15">
      <c r="A181" s="12" t="s">
        <v>80</v>
      </c>
      <c r="B181" s="65">
        <v>42047.271527777775</v>
      </c>
      <c r="C181" s="14">
        <v>64.65</v>
      </c>
      <c r="D181" s="15">
        <v>100</v>
      </c>
      <c r="E181" s="15">
        <f t="shared" si="47"/>
        <v>6476.000000000001</v>
      </c>
      <c r="F181" s="13"/>
      <c r="G181" s="14">
        <v>68.7</v>
      </c>
      <c r="H181" s="15">
        <f t="shared" si="48"/>
        <v>6870</v>
      </c>
      <c r="I181" s="16">
        <f t="shared" si="49"/>
        <v>393.9999999999991</v>
      </c>
      <c r="J181" s="19">
        <f t="shared" si="52"/>
        <v>0.06084002470660887</v>
      </c>
      <c r="K181" s="95" t="s">
        <v>132</v>
      </c>
      <c r="L181" s="119"/>
      <c r="M181" s="20">
        <f t="shared" si="51"/>
        <v>60.12450000000001</v>
      </c>
      <c r="N181" s="118">
        <v>77.93</v>
      </c>
      <c r="O181" s="116"/>
      <c r="P181" s="116" t="s">
        <v>80</v>
      </c>
      <c r="Q181" s="117"/>
      <c r="R181" s="118"/>
      <c r="S181" s="117"/>
      <c r="T181" s="116"/>
      <c r="V181" s="131"/>
    </row>
    <row r="182" spans="1:22" s="114" customFormat="1" ht="15">
      <c r="A182" s="12" t="s">
        <v>60</v>
      </c>
      <c r="B182" s="65">
        <v>42012.27569444444</v>
      </c>
      <c r="C182" s="14">
        <v>75.9</v>
      </c>
      <c r="D182" s="15">
        <v>190</v>
      </c>
      <c r="E182" s="15">
        <f t="shared" si="47"/>
        <v>14432.000000000002</v>
      </c>
      <c r="F182" s="13"/>
      <c r="G182" s="14">
        <v>84.66</v>
      </c>
      <c r="H182" s="15">
        <f t="shared" si="48"/>
        <v>16085.4</v>
      </c>
      <c r="I182" s="16">
        <f t="shared" si="49"/>
        <v>1653.3999999999978</v>
      </c>
      <c r="J182" s="19">
        <f t="shared" si="52"/>
        <v>0.11456485587583132</v>
      </c>
      <c r="K182" s="95" t="s">
        <v>86</v>
      </c>
      <c r="L182" s="119">
        <v>73.96</v>
      </c>
      <c r="M182" s="41">
        <f t="shared" si="51"/>
        <v>70.587</v>
      </c>
      <c r="N182" s="118">
        <v>97.93</v>
      </c>
      <c r="O182" s="121">
        <f>WORKDAY(B184,40,'Weekly Summary'!P$2:P$10)</f>
        <v>42073</v>
      </c>
      <c r="P182" s="116" t="s">
        <v>60</v>
      </c>
      <c r="Q182" s="117">
        <v>86.5</v>
      </c>
      <c r="R182" s="118">
        <f>Q182*0.855</f>
        <v>73.9575</v>
      </c>
      <c r="S182" s="117">
        <f>1.11*C182</f>
        <v>84.24900000000001</v>
      </c>
      <c r="T182" s="116"/>
      <c r="V182" s="131"/>
    </row>
    <row r="183" spans="1:22" s="114" customFormat="1" ht="15">
      <c r="A183" s="12" t="s">
        <v>60</v>
      </c>
      <c r="B183" s="65">
        <v>42012.520833333336</v>
      </c>
      <c r="C183" s="14">
        <v>78</v>
      </c>
      <c r="D183" s="15">
        <v>110</v>
      </c>
      <c r="E183" s="15">
        <f t="shared" si="47"/>
        <v>8591</v>
      </c>
      <c r="F183" s="13"/>
      <c r="G183" s="14">
        <v>84.66</v>
      </c>
      <c r="H183" s="15">
        <f t="shared" si="48"/>
        <v>9312.6</v>
      </c>
      <c r="I183" s="16">
        <f t="shared" si="49"/>
        <v>721.6000000000004</v>
      </c>
      <c r="J183" s="19">
        <f t="shared" si="52"/>
        <v>0.08399487836107558</v>
      </c>
      <c r="K183" s="95" t="s">
        <v>87</v>
      </c>
      <c r="L183" s="119">
        <v>73.96</v>
      </c>
      <c r="M183" s="41">
        <f t="shared" si="51"/>
        <v>72.54</v>
      </c>
      <c r="N183" s="118">
        <v>97.93</v>
      </c>
      <c r="P183" s="116" t="s">
        <v>60</v>
      </c>
      <c r="Q183" s="117"/>
      <c r="R183" s="118"/>
      <c r="S183" s="117"/>
      <c r="T183" s="116"/>
      <c r="V183" s="131"/>
    </row>
    <row r="184" spans="1:20" s="114" customFormat="1" ht="15">
      <c r="A184" s="12" t="s">
        <v>60</v>
      </c>
      <c r="B184" s="65">
        <v>42013.274305555555</v>
      </c>
      <c r="C184" s="14">
        <v>79.2</v>
      </c>
      <c r="D184" s="15">
        <v>70</v>
      </c>
      <c r="E184" s="15">
        <f t="shared" si="47"/>
        <v>5555</v>
      </c>
      <c r="F184" s="13"/>
      <c r="G184" s="14">
        <v>84.66</v>
      </c>
      <c r="H184" s="15">
        <f t="shared" si="48"/>
        <v>5926.2</v>
      </c>
      <c r="I184" s="16">
        <f t="shared" si="49"/>
        <v>371.1999999999998</v>
      </c>
      <c r="J184" s="19">
        <f t="shared" si="52"/>
        <v>0.0668226822682268</v>
      </c>
      <c r="K184" s="95" t="s">
        <v>88</v>
      </c>
      <c r="L184" s="119">
        <v>73.96</v>
      </c>
      <c r="M184" s="41">
        <f t="shared" si="51"/>
        <v>73.656</v>
      </c>
      <c r="N184" s="118">
        <v>97.93</v>
      </c>
      <c r="O184" s="116"/>
      <c r="P184" s="116" t="s">
        <v>60</v>
      </c>
      <c r="Q184" s="117"/>
      <c r="R184" s="118"/>
      <c r="S184" s="117"/>
      <c r="T184" s="116"/>
    </row>
    <row r="185" spans="1:20" s="114" customFormat="1" ht="15">
      <c r="A185" s="12" t="s">
        <v>73</v>
      </c>
      <c r="B185" s="65">
        <v>42017.27847222222</v>
      </c>
      <c r="C185" s="14">
        <v>21.2</v>
      </c>
      <c r="D185" s="15">
        <v>680</v>
      </c>
      <c r="E185" s="15">
        <f t="shared" si="47"/>
        <v>14427</v>
      </c>
      <c r="F185" s="13"/>
      <c r="G185" s="14">
        <v>23.16</v>
      </c>
      <c r="H185" s="15">
        <f t="shared" si="48"/>
        <v>15748.8</v>
      </c>
      <c r="I185" s="16">
        <f t="shared" si="49"/>
        <v>1321.7999999999993</v>
      </c>
      <c r="J185" s="19">
        <f t="shared" si="52"/>
        <v>0.09161987939280511</v>
      </c>
      <c r="K185" s="95" t="s">
        <v>111</v>
      </c>
      <c r="L185" s="119">
        <v>20.67</v>
      </c>
      <c r="M185" s="41">
        <f t="shared" si="51"/>
        <v>19.716</v>
      </c>
      <c r="N185" s="118">
        <v>26.43</v>
      </c>
      <c r="O185" s="121">
        <f>WORKDAY(B185,40,'Weekly Summary'!P$2:P$10)</f>
        <v>42075</v>
      </c>
      <c r="P185" s="116" t="s">
        <v>73</v>
      </c>
      <c r="Q185" s="117">
        <v>24.17</v>
      </c>
      <c r="R185" s="118">
        <f>Q185*0.855</f>
        <v>20.66535</v>
      </c>
      <c r="S185" s="117">
        <f>1.11*C185</f>
        <v>23.532</v>
      </c>
      <c r="T185" s="116"/>
    </row>
    <row r="186" spans="1:20" s="114" customFormat="1" ht="15">
      <c r="A186" s="12" t="s">
        <v>73</v>
      </c>
      <c r="B186" s="65">
        <v>42020.5375</v>
      </c>
      <c r="C186" s="14">
        <v>21.73</v>
      </c>
      <c r="D186" s="15">
        <v>400</v>
      </c>
      <c r="E186" s="15">
        <f t="shared" si="47"/>
        <v>8703</v>
      </c>
      <c r="F186" s="13"/>
      <c r="G186" s="14">
        <v>23.16</v>
      </c>
      <c r="H186" s="15">
        <f t="shared" si="48"/>
        <v>9264</v>
      </c>
      <c r="I186" s="16">
        <f t="shared" si="49"/>
        <v>561</v>
      </c>
      <c r="J186" s="19">
        <f t="shared" si="52"/>
        <v>0.06446053085143054</v>
      </c>
      <c r="K186" s="95" t="s">
        <v>119</v>
      </c>
      <c r="L186" s="119">
        <v>20.67</v>
      </c>
      <c r="M186" s="41">
        <f t="shared" si="51"/>
        <v>20.2089</v>
      </c>
      <c r="N186" s="118">
        <v>26.43</v>
      </c>
      <c r="O186" s="116"/>
      <c r="P186" s="116" t="s">
        <v>73</v>
      </c>
      <c r="Q186" s="117"/>
      <c r="R186" s="118"/>
      <c r="S186" s="117"/>
      <c r="T186" s="116"/>
    </row>
    <row r="187" spans="1:20" s="114" customFormat="1" ht="15">
      <c r="A187" s="12" t="s">
        <v>73</v>
      </c>
      <c r="B187" s="65">
        <v>42024.39791666667</v>
      </c>
      <c r="C187" s="14">
        <v>22.2</v>
      </c>
      <c r="D187" s="15">
        <v>260</v>
      </c>
      <c r="E187" s="15">
        <f t="shared" si="47"/>
        <v>5783</v>
      </c>
      <c r="F187" s="13"/>
      <c r="G187" s="14">
        <v>23.16</v>
      </c>
      <c r="H187" s="15">
        <f t="shared" si="48"/>
        <v>6021.6</v>
      </c>
      <c r="I187" s="16">
        <f t="shared" si="49"/>
        <v>238.60000000000036</v>
      </c>
      <c r="J187" s="19">
        <f t="shared" si="52"/>
        <v>0.0412588621822584</v>
      </c>
      <c r="K187" s="95" t="s">
        <v>118</v>
      </c>
      <c r="L187" s="119">
        <v>20.67</v>
      </c>
      <c r="M187" s="41">
        <f t="shared" si="51"/>
        <v>20.646</v>
      </c>
      <c r="N187" s="118">
        <v>26.43</v>
      </c>
      <c r="O187" s="116"/>
      <c r="P187" s="116" t="s">
        <v>73</v>
      </c>
      <c r="Q187" s="117"/>
      <c r="R187" s="118"/>
      <c r="S187" s="117"/>
      <c r="T187" s="116"/>
    </row>
    <row r="188" spans="1:20" s="114" customFormat="1" ht="15">
      <c r="A188" s="12" t="s">
        <v>58</v>
      </c>
      <c r="B188" s="65">
        <v>42020.27291666667</v>
      </c>
      <c r="C188" s="14">
        <v>40.8</v>
      </c>
      <c r="D188" s="15">
        <v>350</v>
      </c>
      <c r="E188" s="15">
        <f t="shared" si="47"/>
        <v>14290.999999999998</v>
      </c>
      <c r="F188" s="13"/>
      <c r="G188" s="14">
        <v>48.02</v>
      </c>
      <c r="H188" s="15">
        <f t="shared" si="48"/>
        <v>16807</v>
      </c>
      <c r="I188" s="16">
        <f t="shared" si="49"/>
        <v>2516.000000000002</v>
      </c>
      <c r="J188" s="19">
        <f t="shared" si="52"/>
        <v>0.17605485970191045</v>
      </c>
      <c r="K188" s="95" t="s">
        <v>120</v>
      </c>
      <c r="L188" s="119">
        <v>41.58</v>
      </c>
      <c r="M188" s="41">
        <f t="shared" si="51"/>
        <v>37.944</v>
      </c>
      <c r="N188" s="118">
        <v>56.56</v>
      </c>
      <c r="O188" s="121">
        <f>WORKDAY(B191,40,'Weekly Summary'!P$2:P$10)</f>
        <v>42100</v>
      </c>
      <c r="P188" s="116" t="s">
        <v>58</v>
      </c>
      <c r="Q188" s="117">
        <v>48.63</v>
      </c>
      <c r="R188" s="118">
        <f>Q188*0.855</f>
        <v>41.57865</v>
      </c>
      <c r="S188" s="117">
        <f>1.11*C188</f>
        <v>45.288000000000004</v>
      </c>
      <c r="T188" s="116"/>
    </row>
    <row r="189" spans="1:20" s="114" customFormat="1" ht="15">
      <c r="A189" s="12" t="s">
        <v>58</v>
      </c>
      <c r="B189" s="65">
        <v>42024.35486111111</v>
      </c>
      <c r="C189" s="14">
        <v>42.9</v>
      </c>
      <c r="D189" s="15">
        <v>200</v>
      </c>
      <c r="E189" s="15">
        <f t="shared" si="47"/>
        <v>8591</v>
      </c>
      <c r="F189" s="13"/>
      <c r="G189" s="14">
        <v>48.02</v>
      </c>
      <c r="H189" s="15">
        <f t="shared" si="48"/>
        <v>9604</v>
      </c>
      <c r="I189" s="16">
        <f t="shared" si="49"/>
        <v>1013</v>
      </c>
      <c r="J189" s="19">
        <f t="shared" si="52"/>
        <v>0.11791409614713072</v>
      </c>
      <c r="K189" s="95" t="s">
        <v>121</v>
      </c>
      <c r="L189" s="119">
        <v>41.58</v>
      </c>
      <c r="M189" s="41">
        <f t="shared" si="51"/>
        <v>39.897</v>
      </c>
      <c r="N189" s="118">
        <v>56.56</v>
      </c>
      <c r="O189" s="116"/>
      <c r="P189" s="116" t="s">
        <v>58</v>
      </c>
      <c r="Q189" s="117"/>
      <c r="R189" s="118"/>
      <c r="S189" s="117"/>
      <c r="T189" s="116"/>
    </row>
    <row r="190" spans="1:20" s="114" customFormat="1" ht="15">
      <c r="A190" s="12" t="s">
        <v>58</v>
      </c>
      <c r="B190" s="65">
        <v>42039.3375</v>
      </c>
      <c r="C190" s="14">
        <v>43.9</v>
      </c>
      <c r="D190" s="15">
        <v>130</v>
      </c>
      <c r="E190" s="15">
        <f t="shared" si="47"/>
        <v>5718</v>
      </c>
      <c r="F190" s="13"/>
      <c r="G190" s="14">
        <v>48.02</v>
      </c>
      <c r="H190" s="15">
        <f t="shared" si="48"/>
        <v>6242.6</v>
      </c>
      <c r="I190" s="16">
        <f t="shared" si="49"/>
        <v>524.6000000000004</v>
      </c>
      <c r="J190" s="19">
        <f t="shared" si="52"/>
        <v>0.091745365512417</v>
      </c>
      <c r="K190" s="95" t="s">
        <v>130</v>
      </c>
      <c r="L190" s="119">
        <v>41.58</v>
      </c>
      <c r="M190" s="41">
        <f t="shared" si="51"/>
        <v>40.827</v>
      </c>
      <c r="N190" s="118">
        <v>56.56</v>
      </c>
      <c r="O190" s="116"/>
      <c r="P190" s="116" t="s">
        <v>58</v>
      </c>
      <c r="Q190" s="117"/>
      <c r="R190" s="118"/>
      <c r="S190" s="117"/>
      <c r="T190" s="116"/>
    </row>
    <row r="191" spans="1:20" s="114" customFormat="1" ht="15">
      <c r="A191" s="12" t="s">
        <v>61</v>
      </c>
      <c r="B191" s="65">
        <v>42040.27847222222</v>
      </c>
      <c r="C191" s="14">
        <v>132.85</v>
      </c>
      <c r="D191" s="15">
        <v>110</v>
      </c>
      <c r="E191" s="15">
        <f t="shared" si="47"/>
        <v>14624.5</v>
      </c>
      <c r="F191" s="13"/>
      <c r="G191" s="14">
        <v>138</v>
      </c>
      <c r="H191" s="15">
        <f t="shared" si="48"/>
        <v>15180</v>
      </c>
      <c r="I191" s="16">
        <f t="shared" si="49"/>
        <v>555.5</v>
      </c>
      <c r="J191" s="19">
        <f t="shared" si="52"/>
        <v>0.03798420458819105</v>
      </c>
      <c r="K191" s="95" t="s">
        <v>134</v>
      </c>
      <c r="L191" s="119"/>
      <c r="M191" s="20">
        <f t="shared" si="51"/>
        <v>123.5505</v>
      </c>
      <c r="N191" s="118">
        <v>168.13</v>
      </c>
      <c r="O191" s="121">
        <v>42086</v>
      </c>
      <c r="P191" s="116" t="s">
        <v>61</v>
      </c>
      <c r="Q191" s="117">
        <v>138.11</v>
      </c>
      <c r="R191" s="118">
        <f>Q191*0.855</f>
        <v>118.08405</v>
      </c>
      <c r="S191" s="117">
        <f>1.11*C191</f>
        <v>147.4635</v>
      </c>
      <c r="T191" s="116"/>
    </row>
    <row r="192" spans="1:20" s="114" customFormat="1" ht="15">
      <c r="A192" s="12" t="s">
        <v>61</v>
      </c>
      <c r="B192" s="65">
        <v>42045.27291666667</v>
      </c>
      <c r="C192" s="14">
        <v>135.9</v>
      </c>
      <c r="D192" s="15">
        <v>65</v>
      </c>
      <c r="E192" s="15">
        <f t="shared" si="47"/>
        <v>8844.5</v>
      </c>
      <c r="F192" s="13"/>
      <c r="G192" s="14">
        <v>138</v>
      </c>
      <c r="H192" s="15">
        <f t="shared" si="48"/>
        <v>8970</v>
      </c>
      <c r="I192" s="16">
        <f t="shared" si="49"/>
        <v>125.5</v>
      </c>
      <c r="J192" s="19">
        <f t="shared" si="52"/>
        <v>0.01418960936175024</v>
      </c>
      <c r="K192" s="95" t="s">
        <v>141</v>
      </c>
      <c r="L192" s="119"/>
      <c r="M192" s="20">
        <f t="shared" si="51"/>
        <v>126.38700000000001</v>
      </c>
      <c r="N192" s="118">
        <v>168.13</v>
      </c>
      <c r="O192" s="116"/>
      <c r="P192" s="116" t="s">
        <v>61</v>
      </c>
      <c r="Q192" s="117"/>
      <c r="R192" s="118"/>
      <c r="S192" s="117"/>
      <c r="T192" s="116"/>
    </row>
    <row r="193" spans="1:20" s="114" customFormat="1" ht="15">
      <c r="A193" s="85" t="s">
        <v>61</v>
      </c>
      <c r="B193" s="65">
        <v>42054.277083333334</v>
      </c>
      <c r="C193" s="14">
        <v>139.17</v>
      </c>
      <c r="D193" s="15">
        <v>40</v>
      </c>
      <c r="E193" s="15">
        <f t="shared" si="47"/>
        <v>5577.799999999999</v>
      </c>
      <c r="F193" s="13"/>
      <c r="G193" s="14">
        <v>138</v>
      </c>
      <c r="H193" s="15">
        <f t="shared" si="48"/>
        <v>5520</v>
      </c>
      <c r="I193" s="16">
        <f t="shared" si="49"/>
        <v>-57.79999999999927</v>
      </c>
      <c r="J193" s="19">
        <f t="shared" si="52"/>
        <v>-0.010362508515902197</v>
      </c>
      <c r="K193" s="95" t="s">
        <v>140</v>
      </c>
      <c r="L193" s="119"/>
      <c r="M193" s="20">
        <f t="shared" si="51"/>
        <v>129.4281</v>
      </c>
      <c r="N193" s="118">
        <v>168.13</v>
      </c>
      <c r="O193" s="116"/>
      <c r="P193" s="116" t="s">
        <v>61</v>
      </c>
      <c r="Q193" s="117"/>
      <c r="R193" s="118"/>
      <c r="S193" s="117"/>
      <c r="T193" s="116"/>
    </row>
    <row r="194" spans="1:20" s="114" customFormat="1" ht="15">
      <c r="A194" s="12" t="s">
        <v>52</v>
      </c>
      <c r="B194" s="65">
        <v>42046.27361111111</v>
      </c>
      <c r="C194" s="14">
        <v>129.75</v>
      </c>
      <c r="D194" s="15">
        <v>80</v>
      </c>
      <c r="E194" s="15">
        <f t="shared" si="47"/>
        <v>10391</v>
      </c>
      <c r="F194" s="13"/>
      <c r="G194" s="14">
        <v>141.61</v>
      </c>
      <c r="H194" s="15">
        <f t="shared" si="48"/>
        <v>11328.800000000001</v>
      </c>
      <c r="I194" s="16">
        <f t="shared" si="49"/>
        <v>937.8000000000011</v>
      </c>
      <c r="J194" s="19">
        <f t="shared" si="52"/>
        <v>0.09025117890482158</v>
      </c>
      <c r="K194" s="95" t="s">
        <v>135</v>
      </c>
      <c r="L194" s="119"/>
      <c r="M194" s="20">
        <f t="shared" si="51"/>
        <v>120.6675</v>
      </c>
      <c r="N194" s="118">
        <v>161.78</v>
      </c>
      <c r="O194" s="121">
        <f>WORKDAY(B194,40,'Weekly Summary'!P$2:P$10)</f>
        <v>42104</v>
      </c>
      <c r="P194" s="116" t="s">
        <v>52</v>
      </c>
      <c r="Q194" s="117"/>
      <c r="R194" s="118"/>
      <c r="S194" s="117">
        <f>1.11*C194</f>
        <v>144.0225</v>
      </c>
      <c r="T194" s="116"/>
    </row>
    <row r="195" spans="1:20" s="114" customFormat="1" ht="15">
      <c r="A195" s="12" t="s">
        <v>52</v>
      </c>
      <c r="B195" s="65">
        <v>42047.275</v>
      </c>
      <c r="C195" s="14">
        <v>133.95</v>
      </c>
      <c r="D195" s="15">
        <v>45</v>
      </c>
      <c r="E195" s="15">
        <f t="shared" si="47"/>
        <v>6038.749999999999</v>
      </c>
      <c r="F195" s="13"/>
      <c r="G195" s="14">
        <v>141.61</v>
      </c>
      <c r="H195" s="15">
        <f t="shared" si="48"/>
        <v>6372.450000000001</v>
      </c>
      <c r="I195" s="16">
        <f t="shared" si="49"/>
        <v>333.70000000000164</v>
      </c>
      <c r="J195" s="19">
        <f t="shared" si="52"/>
        <v>0.05525978058373036</v>
      </c>
      <c r="K195" s="95" t="s">
        <v>136</v>
      </c>
      <c r="L195" s="119"/>
      <c r="M195" s="20">
        <f t="shared" si="51"/>
        <v>124.5735</v>
      </c>
      <c r="N195" s="118">
        <v>161.78</v>
      </c>
      <c r="O195" s="116"/>
      <c r="P195" s="116" t="s">
        <v>52</v>
      </c>
      <c r="Q195" s="117"/>
      <c r="R195" s="118"/>
      <c r="S195" s="117"/>
      <c r="T195" s="116"/>
    </row>
    <row r="196" spans="1:20" s="114" customFormat="1" ht="15">
      <c r="A196" s="12" t="s">
        <v>52</v>
      </c>
      <c r="B196" s="65">
        <v>42048.450694444444</v>
      </c>
      <c r="C196" s="14">
        <v>135.8</v>
      </c>
      <c r="D196" s="15">
        <v>30</v>
      </c>
      <c r="E196" s="15">
        <f t="shared" si="47"/>
        <v>4085.0000000000005</v>
      </c>
      <c r="F196" s="13"/>
      <c r="G196" s="14">
        <v>141.61</v>
      </c>
      <c r="H196" s="15">
        <f t="shared" si="48"/>
        <v>4248.3</v>
      </c>
      <c r="I196" s="16">
        <f t="shared" si="49"/>
        <v>163.29999999999973</v>
      </c>
      <c r="J196" s="19">
        <f t="shared" si="52"/>
        <v>0.03997552019583836</v>
      </c>
      <c r="K196" s="95" t="s">
        <v>143</v>
      </c>
      <c r="L196" s="119"/>
      <c r="M196" s="20">
        <f t="shared" si="51"/>
        <v>126.29400000000001</v>
      </c>
      <c r="N196" s="118">
        <v>161.78</v>
      </c>
      <c r="O196" s="116"/>
      <c r="P196" s="116" t="s">
        <v>52</v>
      </c>
      <c r="Q196" s="117"/>
      <c r="R196" s="118"/>
      <c r="S196" s="117"/>
      <c r="T196" s="116"/>
    </row>
    <row r="197" spans="1:20" s="114" customFormat="1" ht="15">
      <c r="A197" s="12"/>
      <c r="B197" s="13"/>
      <c r="C197" s="14"/>
      <c r="D197" s="15"/>
      <c r="E197" s="15"/>
      <c r="F197" s="13"/>
      <c r="G197" s="14"/>
      <c r="H197" s="15"/>
      <c r="I197" s="16"/>
      <c r="J197" s="19"/>
      <c r="K197" s="95"/>
      <c r="L197" s="119"/>
      <c r="M197" s="32"/>
      <c r="N197" s="118"/>
      <c r="Q197" s="117"/>
      <c r="R197" s="117"/>
      <c r="S197" s="117"/>
      <c r="T197" s="116"/>
    </row>
    <row r="198" spans="1:20" s="114" customFormat="1" ht="15">
      <c r="A198" s="21" t="s">
        <v>14</v>
      </c>
      <c r="B198" s="22"/>
      <c r="C198" s="23"/>
      <c r="D198" s="24"/>
      <c r="E198" s="24">
        <f>SUM(E171:E197)</f>
        <v>236036.84999999998</v>
      </c>
      <c r="F198" s="22"/>
      <c r="G198" s="23"/>
      <c r="H198" s="24">
        <f>SUM(H171:H197)</f>
        <v>259237.05</v>
      </c>
      <c r="I198" s="25">
        <f>SUM(I171:I197)</f>
        <v>23200.199999999997</v>
      </c>
      <c r="J198" s="26">
        <f>I198/E198</f>
        <v>0.09829058471166684</v>
      </c>
      <c r="K198" s="27" t="s">
        <v>15</v>
      </c>
      <c r="L198" s="28">
        <f>100000+I200</f>
        <v>120500.06</v>
      </c>
      <c r="M198" s="81"/>
      <c r="N198" s="89"/>
      <c r="Q198" s="117"/>
      <c r="R198" s="117"/>
      <c r="S198" s="117"/>
      <c r="T198" s="116"/>
    </row>
    <row r="199" spans="1:20" s="114" customFormat="1" ht="15">
      <c r="A199" s="12" t="s">
        <v>67</v>
      </c>
      <c r="B199" s="22"/>
      <c r="C199" s="25">
        <f>I200-I166</f>
        <v>5169.300000000003</v>
      </c>
      <c r="D199" s="26">
        <f>C199/H164</f>
        <v>0.02136507420202319</v>
      </c>
      <c r="E199" s="24"/>
      <c r="F199" s="22" t="s">
        <v>16</v>
      </c>
      <c r="G199" s="117"/>
      <c r="H199" s="29" t="str">
        <f>IF(ABS(H198-E198-I198)&lt;1,"","ERROR")</f>
        <v/>
      </c>
      <c r="I199" s="30">
        <v>-2700.1399999999994</v>
      </c>
      <c r="J199" s="26"/>
      <c r="K199" s="111" t="s">
        <v>17</v>
      </c>
      <c r="L199" s="28">
        <f>(2*(100000+I200))-E198</f>
        <v>4963.270000000019</v>
      </c>
      <c r="M199" s="31"/>
      <c r="Q199" s="117"/>
      <c r="R199" s="117"/>
      <c r="S199" s="117"/>
      <c r="T199" s="116"/>
    </row>
    <row r="200" spans="1:20" s="114" customFormat="1" ht="15">
      <c r="A200" s="12" t="s">
        <v>54</v>
      </c>
      <c r="B200" s="22"/>
      <c r="C200" s="25">
        <f>L198-L164</f>
        <v>5169.300000000003</v>
      </c>
      <c r="D200" s="26">
        <f>C200/L164</f>
        <v>0.04482152029519274</v>
      </c>
      <c r="E200" s="24"/>
      <c r="F200" s="22" t="s">
        <v>18</v>
      </c>
      <c r="G200" s="117"/>
      <c r="H200" s="29"/>
      <c r="I200" s="30">
        <f>I198+I199</f>
        <v>20500.059999999998</v>
      </c>
      <c r="J200" s="26">
        <f>I200/100000</f>
        <v>0.20500059999999998</v>
      </c>
      <c r="K200" s="111" t="s">
        <v>19</v>
      </c>
      <c r="L200" s="26">
        <f>E198/(2*(100000+I200))</f>
        <v>0.9794055289267075</v>
      </c>
      <c r="M200" s="31"/>
      <c r="Q200" s="117"/>
      <c r="R200" s="117"/>
      <c r="S200" s="117"/>
      <c r="T200" s="116"/>
    </row>
    <row r="201" spans="2:20" s="114" customFormat="1" ht="15">
      <c r="B201" s="22"/>
      <c r="C201" s="25"/>
      <c r="D201" s="26"/>
      <c r="E201" s="24"/>
      <c r="F201" s="22"/>
      <c r="G201" s="117"/>
      <c r="H201" s="29"/>
      <c r="I201" s="30"/>
      <c r="J201" s="26"/>
      <c r="K201" s="111"/>
      <c r="L201" s="26"/>
      <c r="M201" s="31"/>
      <c r="Q201" s="117"/>
      <c r="R201" s="117"/>
      <c r="S201" s="117"/>
      <c r="T201" s="116"/>
    </row>
    <row r="202" spans="1:20" s="114" customFormat="1" ht="15">
      <c r="A202" s="12"/>
      <c r="B202" s="22"/>
      <c r="C202" s="25"/>
      <c r="D202" s="26"/>
      <c r="E202" s="24"/>
      <c r="F202" s="22"/>
      <c r="G202" s="117"/>
      <c r="H202" s="29"/>
      <c r="I202" s="30"/>
      <c r="J202" s="26"/>
      <c r="K202" s="111"/>
      <c r="L202" s="26"/>
      <c r="M202" s="31"/>
      <c r="Q202" s="117"/>
      <c r="R202" s="117"/>
      <c r="S202" s="117"/>
      <c r="T202" s="116"/>
    </row>
    <row r="203" spans="1:20" s="114" customFormat="1" ht="30.75" customHeight="1">
      <c r="A203" s="108" t="s">
        <v>56</v>
      </c>
      <c r="B203" s="384" t="s">
        <v>144</v>
      </c>
      <c r="C203" s="384"/>
      <c r="D203" s="384"/>
      <c r="E203" s="384"/>
      <c r="F203" s="384"/>
      <c r="G203" s="384"/>
      <c r="H203" s="384"/>
      <c r="I203" s="384"/>
      <c r="J203" s="384"/>
      <c r="K203" s="384"/>
      <c r="L203" s="384"/>
      <c r="M203" s="384"/>
      <c r="N203" s="384"/>
      <c r="O203" s="92"/>
      <c r="P203" s="92"/>
      <c r="Q203" s="104"/>
      <c r="R203" s="104"/>
      <c r="S203" s="107"/>
      <c r="T203" s="109"/>
    </row>
    <row r="204" spans="1:22" s="114" customFormat="1" ht="15">
      <c r="A204" s="2" t="s">
        <v>0</v>
      </c>
      <c r="B204" s="3" t="s">
        <v>1</v>
      </c>
      <c r="C204" s="4" t="s">
        <v>2</v>
      </c>
      <c r="D204" s="5" t="s">
        <v>3</v>
      </c>
      <c r="E204" s="6" t="s">
        <v>4</v>
      </c>
      <c r="F204" s="3" t="s">
        <v>5</v>
      </c>
      <c r="G204" s="7" t="s">
        <v>2</v>
      </c>
      <c r="H204" s="6" t="s">
        <v>6</v>
      </c>
      <c r="I204" s="6" t="s">
        <v>7</v>
      </c>
      <c r="J204" s="8" t="s">
        <v>8</v>
      </c>
      <c r="K204" s="9" t="s">
        <v>9</v>
      </c>
      <c r="L204" s="10" t="s">
        <v>10</v>
      </c>
      <c r="M204" s="11" t="s">
        <v>11</v>
      </c>
      <c r="N204" s="103" t="s">
        <v>53</v>
      </c>
      <c r="O204" s="105" t="s">
        <v>110</v>
      </c>
      <c r="P204" s="106" t="s">
        <v>0</v>
      </c>
      <c r="Q204" s="117" t="s">
        <v>13</v>
      </c>
      <c r="R204" s="117" t="s">
        <v>70</v>
      </c>
      <c r="S204" s="111" t="s">
        <v>103</v>
      </c>
      <c r="T204" s="116" t="s">
        <v>107</v>
      </c>
      <c r="V204" s="9"/>
    </row>
    <row r="205" spans="1:22" s="114" customFormat="1" ht="15">
      <c r="A205" s="12" t="s">
        <v>92</v>
      </c>
      <c r="B205" s="65">
        <v>42010.447916666664</v>
      </c>
      <c r="C205" s="14">
        <v>111.9</v>
      </c>
      <c r="D205" s="15">
        <v>130</v>
      </c>
      <c r="E205" s="15">
        <f aca="true" t="shared" si="53" ref="E205:E235">C205*D205+11</f>
        <v>14558</v>
      </c>
      <c r="F205" s="13"/>
      <c r="G205" s="14">
        <v>141.12</v>
      </c>
      <c r="H205" s="15">
        <f aca="true" t="shared" si="54" ref="H205:H235">G205*D205</f>
        <v>18345.600000000002</v>
      </c>
      <c r="I205" s="16">
        <f aca="true" t="shared" si="55" ref="I205:I235">H205-E205</f>
        <v>3787.600000000002</v>
      </c>
      <c r="J205" s="19">
        <f aca="true" t="shared" si="56" ref="J205">I205/E205</f>
        <v>0.26017310070064587</v>
      </c>
      <c r="K205" s="95" t="s">
        <v>93</v>
      </c>
      <c r="L205" s="97">
        <v>123.03</v>
      </c>
      <c r="M205" s="41">
        <f aca="true" t="shared" si="57" ref="M205:M235">C205*0.93</f>
        <v>104.06700000000001</v>
      </c>
      <c r="N205" s="118">
        <v>141.88</v>
      </c>
      <c r="O205" s="121">
        <f>WORKDAY(B206,40,'Weekly Summary'!P$2:P$10)</f>
        <v>42069</v>
      </c>
      <c r="P205" s="116" t="s">
        <v>92</v>
      </c>
      <c r="Q205" s="117">
        <v>143.9</v>
      </c>
      <c r="R205" s="118">
        <f>Q205*0.855</f>
        <v>123.03450000000001</v>
      </c>
      <c r="S205" s="117">
        <f>1.11*C205</f>
        <v>124.20900000000002</v>
      </c>
      <c r="T205" s="116"/>
      <c r="V205" s="131"/>
    </row>
    <row r="206" spans="1:22" s="114" customFormat="1" ht="15">
      <c r="A206" s="12" t="s">
        <v>92</v>
      </c>
      <c r="B206" s="65">
        <v>42011.34305555555</v>
      </c>
      <c r="C206" s="14">
        <v>114.4</v>
      </c>
      <c r="D206" s="15">
        <v>75</v>
      </c>
      <c r="E206" s="15">
        <f t="shared" si="53"/>
        <v>8591</v>
      </c>
      <c r="F206" s="13"/>
      <c r="G206" s="14">
        <v>141.12</v>
      </c>
      <c r="H206" s="15">
        <f t="shared" si="54"/>
        <v>10584</v>
      </c>
      <c r="I206" s="16">
        <f t="shared" si="55"/>
        <v>1993</v>
      </c>
      <c r="J206" s="19">
        <f>I206/E206</f>
        <v>0.23198696310091957</v>
      </c>
      <c r="K206" s="95" t="s">
        <v>94</v>
      </c>
      <c r="L206" s="97">
        <v>123.03</v>
      </c>
      <c r="M206" s="41">
        <f t="shared" si="57"/>
        <v>106.39200000000001</v>
      </c>
      <c r="N206" s="118">
        <v>141.88</v>
      </c>
      <c r="O206" s="116"/>
      <c r="P206" s="116" t="s">
        <v>92</v>
      </c>
      <c r="Q206" s="117"/>
      <c r="R206" s="118"/>
      <c r="S206" s="117"/>
      <c r="T206" s="116"/>
      <c r="V206" s="131"/>
    </row>
    <row r="207" spans="1:22" s="114" customFormat="1" ht="15">
      <c r="A207" s="12" t="s">
        <v>92</v>
      </c>
      <c r="B207" s="65">
        <v>42012.39513888889</v>
      </c>
      <c r="C207" s="14">
        <v>117.75</v>
      </c>
      <c r="D207" s="15">
        <v>50</v>
      </c>
      <c r="E207" s="15">
        <f t="shared" si="53"/>
        <v>5898.5</v>
      </c>
      <c r="F207" s="13"/>
      <c r="G207" s="14">
        <v>141.12</v>
      </c>
      <c r="H207" s="15">
        <f t="shared" si="54"/>
        <v>7056</v>
      </c>
      <c r="I207" s="16">
        <f t="shared" si="55"/>
        <v>1157.5</v>
      </c>
      <c r="J207" s="19">
        <f>I207/E207</f>
        <v>0.19623633127066203</v>
      </c>
      <c r="K207" s="95" t="s">
        <v>95</v>
      </c>
      <c r="L207" s="97">
        <v>123.03</v>
      </c>
      <c r="M207" s="41">
        <f t="shared" si="57"/>
        <v>109.50750000000001</v>
      </c>
      <c r="N207" s="118">
        <v>141.88</v>
      </c>
      <c r="O207" s="116"/>
      <c r="P207" s="116" t="s">
        <v>92</v>
      </c>
      <c r="Q207" s="117"/>
      <c r="R207" s="118"/>
      <c r="S207" s="117"/>
      <c r="T207" s="116"/>
      <c r="V207" s="131"/>
    </row>
    <row r="208" spans="1:22" s="114" customFormat="1" ht="15">
      <c r="A208" s="85" t="s">
        <v>92</v>
      </c>
      <c r="B208" s="65">
        <v>42061.55972222222</v>
      </c>
      <c r="C208" s="14">
        <v>131.5</v>
      </c>
      <c r="D208" s="15">
        <v>50</v>
      </c>
      <c r="E208" s="15">
        <f t="shared" si="53"/>
        <v>6586</v>
      </c>
      <c r="F208" s="13"/>
      <c r="G208" s="14">
        <v>141.12</v>
      </c>
      <c r="H208" s="15">
        <f aca="true" t="shared" si="58" ref="H208">G208*D208</f>
        <v>7056</v>
      </c>
      <c r="I208" s="16">
        <f aca="true" t="shared" si="59" ref="I208">H208-E208</f>
        <v>470</v>
      </c>
      <c r="J208" s="19">
        <f>I208/E208</f>
        <v>0.07136349832979047</v>
      </c>
      <c r="K208" s="95" t="s">
        <v>145</v>
      </c>
      <c r="L208" s="97">
        <v>123.03</v>
      </c>
      <c r="M208" s="41">
        <f t="shared" si="57"/>
        <v>122.295</v>
      </c>
      <c r="N208" s="118">
        <v>141.88</v>
      </c>
      <c r="O208" s="116"/>
      <c r="P208" s="116" t="s">
        <v>92</v>
      </c>
      <c r="Q208" s="117"/>
      <c r="R208" s="118"/>
      <c r="S208" s="117"/>
      <c r="T208" s="116"/>
      <c r="V208" s="131"/>
    </row>
    <row r="209" spans="1:22" s="114" customFormat="1" ht="15">
      <c r="A209" s="12" t="s">
        <v>64</v>
      </c>
      <c r="B209" s="65">
        <v>42011.27291666667</v>
      </c>
      <c r="C209" s="14">
        <v>70.75</v>
      </c>
      <c r="D209" s="15">
        <v>200</v>
      </c>
      <c r="E209" s="15">
        <f t="shared" si="53"/>
        <v>14161</v>
      </c>
      <c r="F209" s="13"/>
      <c r="G209" s="14">
        <v>87.75</v>
      </c>
      <c r="H209" s="15">
        <f t="shared" si="54"/>
        <v>17550</v>
      </c>
      <c r="I209" s="16">
        <f t="shared" si="55"/>
        <v>3389</v>
      </c>
      <c r="J209" s="19">
        <f aca="true" t="shared" si="60" ref="J209:J235">I209/E209</f>
        <v>0.23931925711461055</v>
      </c>
      <c r="K209" s="95" t="s">
        <v>74</v>
      </c>
      <c r="L209" s="97">
        <v>76.68</v>
      </c>
      <c r="M209" s="41">
        <f t="shared" si="57"/>
        <v>65.7975</v>
      </c>
      <c r="N209" s="118">
        <v>93.71</v>
      </c>
      <c r="O209" s="121">
        <f>WORKDAY(B211,40,'Weekly Summary'!P$2:P$10)</f>
        <v>42081</v>
      </c>
      <c r="P209" s="116" t="s">
        <v>79</v>
      </c>
      <c r="Q209" s="117">
        <v>89.69</v>
      </c>
      <c r="R209" s="118">
        <f>Q209*0.855</f>
        <v>76.68495</v>
      </c>
      <c r="S209" s="117">
        <f>1.11*C209</f>
        <v>78.53250000000001</v>
      </c>
      <c r="T209" s="116"/>
      <c r="V209" s="131"/>
    </row>
    <row r="210" spans="1:22" s="114" customFormat="1" ht="15">
      <c r="A210" s="12" t="s">
        <v>64</v>
      </c>
      <c r="B210" s="65">
        <v>42012.27847222222</v>
      </c>
      <c r="C210" s="14">
        <v>72.34</v>
      </c>
      <c r="D210" s="15">
        <v>120</v>
      </c>
      <c r="E210" s="15">
        <f t="shared" si="53"/>
        <v>8691.800000000001</v>
      </c>
      <c r="F210" s="13"/>
      <c r="G210" s="14">
        <v>87.75</v>
      </c>
      <c r="H210" s="15">
        <f t="shared" si="54"/>
        <v>10530</v>
      </c>
      <c r="I210" s="16">
        <f t="shared" si="55"/>
        <v>1838.199999999999</v>
      </c>
      <c r="J210" s="19">
        <f t="shared" si="60"/>
        <v>0.211486688603051</v>
      </c>
      <c r="K210" s="95" t="s">
        <v>117</v>
      </c>
      <c r="L210" s="97">
        <v>76.68</v>
      </c>
      <c r="M210" s="41">
        <f t="shared" si="57"/>
        <v>67.2762</v>
      </c>
      <c r="N210" s="118">
        <v>93.71</v>
      </c>
      <c r="O210" s="116"/>
      <c r="P210" s="116" t="s">
        <v>79</v>
      </c>
      <c r="Q210" s="117"/>
      <c r="R210" s="118"/>
      <c r="S210" s="117"/>
      <c r="T210" s="116"/>
      <c r="V210" s="131"/>
    </row>
    <row r="211" spans="1:22" s="114" customFormat="1" ht="15">
      <c r="A211" s="12" t="s">
        <v>64</v>
      </c>
      <c r="B211" s="65">
        <v>42024.27291666667</v>
      </c>
      <c r="C211" s="14">
        <v>75.2</v>
      </c>
      <c r="D211" s="15">
        <v>80</v>
      </c>
      <c r="E211" s="15">
        <f t="shared" si="53"/>
        <v>6027</v>
      </c>
      <c r="F211" s="13"/>
      <c r="G211" s="14">
        <v>87.75</v>
      </c>
      <c r="H211" s="15">
        <f t="shared" si="54"/>
        <v>7020</v>
      </c>
      <c r="I211" s="16">
        <f t="shared" si="55"/>
        <v>993</v>
      </c>
      <c r="J211" s="19">
        <f t="shared" si="60"/>
        <v>0.1647585863613738</v>
      </c>
      <c r="K211" s="95" t="s">
        <v>138</v>
      </c>
      <c r="L211" s="97">
        <v>76.68</v>
      </c>
      <c r="M211" s="41">
        <f t="shared" si="57"/>
        <v>69.936</v>
      </c>
      <c r="N211" s="118">
        <v>93.71</v>
      </c>
      <c r="O211" s="116"/>
      <c r="P211" s="116" t="s">
        <v>79</v>
      </c>
      <c r="Q211" s="117"/>
      <c r="R211" s="118"/>
      <c r="S211" s="117"/>
      <c r="T211" s="116"/>
      <c r="V211" s="131"/>
    </row>
    <row r="212" spans="1:22" s="114" customFormat="1" ht="15">
      <c r="A212" s="12" t="s">
        <v>64</v>
      </c>
      <c r="B212" s="65">
        <v>42052.277083333334</v>
      </c>
      <c r="C212" s="14">
        <v>81.6</v>
      </c>
      <c r="D212" s="15">
        <v>80</v>
      </c>
      <c r="E212" s="15">
        <f t="shared" si="53"/>
        <v>6539</v>
      </c>
      <c r="F212" s="13"/>
      <c r="G212" s="14">
        <v>87.75</v>
      </c>
      <c r="H212" s="15">
        <f t="shared" si="54"/>
        <v>7020</v>
      </c>
      <c r="I212" s="16">
        <f t="shared" si="55"/>
        <v>481</v>
      </c>
      <c r="J212" s="19">
        <f t="shared" si="60"/>
        <v>0.073558648111332</v>
      </c>
      <c r="K212" s="95" t="s">
        <v>139</v>
      </c>
      <c r="L212" s="97">
        <v>76.68</v>
      </c>
      <c r="M212" s="41">
        <f t="shared" si="57"/>
        <v>75.888</v>
      </c>
      <c r="N212" s="118">
        <v>93.71</v>
      </c>
      <c r="O212" s="116"/>
      <c r="P212" s="116" t="s">
        <v>79</v>
      </c>
      <c r="Q212" s="117"/>
      <c r="R212" s="118"/>
      <c r="S212" s="117"/>
      <c r="T212" s="116"/>
      <c r="V212" s="131"/>
    </row>
    <row r="213" spans="1:22" s="114" customFormat="1" ht="15">
      <c r="A213" s="85" t="s">
        <v>79</v>
      </c>
      <c r="B213" s="65">
        <v>42058.27361111111</v>
      </c>
      <c r="C213" s="14">
        <v>85.2</v>
      </c>
      <c r="D213" s="15">
        <v>100</v>
      </c>
      <c r="E213" s="15">
        <f t="shared" si="53"/>
        <v>8531</v>
      </c>
      <c r="F213" s="13"/>
      <c r="G213" s="14">
        <v>87.75</v>
      </c>
      <c r="H213" s="15">
        <f t="shared" si="54"/>
        <v>8775</v>
      </c>
      <c r="I213" s="16">
        <f t="shared" si="55"/>
        <v>244</v>
      </c>
      <c r="J213" s="19">
        <f t="shared" si="60"/>
        <v>0.028601570741999767</v>
      </c>
      <c r="K213" s="95" t="s">
        <v>146</v>
      </c>
      <c r="L213" s="97"/>
      <c r="M213" s="20">
        <f t="shared" si="57"/>
        <v>79.236</v>
      </c>
      <c r="N213" s="118"/>
      <c r="O213" s="116"/>
      <c r="P213" s="116" t="s">
        <v>79</v>
      </c>
      <c r="Q213" s="117"/>
      <c r="R213" s="118"/>
      <c r="S213" s="117"/>
      <c r="T213" s="116"/>
      <c r="V213" s="131"/>
    </row>
    <row r="214" spans="1:22" s="114" customFormat="1" ht="15">
      <c r="A214" s="12" t="s">
        <v>80</v>
      </c>
      <c r="B214" s="65">
        <v>42011.30486111111</v>
      </c>
      <c r="C214" s="14">
        <v>58.02</v>
      </c>
      <c r="D214" s="15">
        <v>250</v>
      </c>
      <c r="E214" s="15">
        <f t="shared" si="53"/>
        <v>14516</v>
      </c>
      <c r="F214" s="13"/>
      <c r="G214" s="14">
        <v>68.14</v>
      </c>
      <c r="H214" s="15">
        <f t="shared" si="54"/>
        <v>17035</v>
      </c>
      <c r="I214" s="16">
        <f t="shared" si="55"/>
        <v>2519</v>
      </c>
      <c r="J214" s="19">
        <f t="shared" si="60"/>
        <v>0.17353265362358777</v>
      </c>
      <c r="K214" s="95" t="s">
        <v>81</v>
      </c>
      <c r="L214" s="97">
        <v>60.06</v>
      </c>
      <c r="M214" s="41">
        <f t="shared" si="57"/>
        <v>53.958600000000004</v>
      </c>
      <c r="N214" s="118">
        <v>76.6</v>
      </c>
      <c r="O214" s="121">
        <v>42090</v>
      </c>
      <c r="P214" s="116" t="s">
        <v>80</v>
      </c>
      <c r="Q214" s="117">
        <v>70.25</v>
      </c>
      <c r="R214" s="118">
        <f>Q214*0.855</f>
        <v>60.06375</v>
      </c>
      <c r="S214" s="117">
        <f>1.11*C214</f>
        <v>64.40220000000001</v>
      </c>
      <c r="T214" s="116"/>
      <c r="V214" s="131"/>
    </row>
    <row r="215" spans="1:22" s="114" customFormat="1" ht="15">
      <c r="A215" s="12" t="s">
        <v>80</v>
      </c>
      <c r="B215" s="65">
        <v>42011.40694444445</v>
      </c>
      <c r="C215" s="14">
        <v>59.16</v>
      </c>
      <c r="D215" s="15">
        <v>150</v>
      </c>
      <c r="E215" s="15">
        <f t="shared" si="53"/>
        <v>8885</v>
      </c>
      <c r="F215" s="13"/>
      <c r="G215" s="14">
        <v>68.14</v>
      </c>
      <c r="H215" s="15">
        <f t="shared" si="54"/>
        <v>10221</v>
      </c>
      <c r="I215" s="16">
        <f t="shared" si="55"/>
        <v>1336</v>
      </c>
      <c r="J215" s="122">
        <f t="shared" si="60"/>
        <v>0.15036578503095105</v>
      </c>
      <c r="K215" s="95" t="s">
        <v>82</v>
      </c>
      <c r="L215" s="97">
        <v>60.06</v>
      </c>
      <c r="M215" s="41">
        <f t="shared" si="57"/>
        <v>55.0188</v>
      </c>
      <c r="N215" s="118">
        <v>77.93</v>
      </c>
      <c r="O215" s="116"/>
      <c r="P215" s="116" t="s">
        <v>80</v>
      </c>
      <c r="Q215" s="117"/>
      <c r="R215" s="118"/>
      <c r="S215" s="117"/>
      <c r="T215" s="116"/>
      <c r="V215" s="131"/>
    </row>
    <row r="216" spans="1:22" s="114" customFormat="1" ht="15">
      <c r="A216" s="12" t="s">
        <v>80</v>
      </c>
      <c r="B216" s="65">
        <v>42012.29305555556</v>
      </c>
      <c r="C216" s="14">
        <v>60.3</v>
      </c>
      <c r="D216" s="15">
        <v>100</v>
      </c>
      <c r="E216" s="15">
        <f t="shared" si="53"/>
        <v>6041</v>
      </c>
      <c r="F216" s="13"/>
      <c r="G216" s="14">
        <v>68.14</v>
      </c>
      <c r="H216" s="15">
        <f t="shared" si="54"/>
        <v>6814</v>
      </c>
      <c r="I216" s="16">
        <f t="shared" si="55"/>
        <v>773</v>
      </c>
      <c r="J216" s="19">
        <f t="shared" si="60"/>
        <v>0.12795894719417314</v>
      </c>
      <c r="K216" s="95" t="s">
        <v>83</v>
      </c>
      <c r="L216" s="97">
        <v>60.06</v>
      </c>
      <c r="M216" s="41">
        <f t="shared" si="57"/>
        <v>56.079</v>
      </c>
      <c r="N216" s="118">
        <v>77.93</v>
      </c>
      <c r="O216" s="116"/>
      <c r="P216" s="116" t="s">
        <v>80</v>
      </c>
      <c r="Q216" s="117"/>
      <c r="R216" s="118"/>
      <c r="S216" s="117"/>
      <c r="T216" s="116"/>
      <c r="V216" s="131"/>
    </row>
    <row r="217" spans="1:22" s="114" customFormat="1" ht="15">
      <c r="A217" s="12" t="s">
        <v>80</v>
      </c>
      <c r="B217" s="65">
        <v>42047.271527777775</v>
      </c>
      <c r="C217" s="14">
        <v>64.65</v>
      </c>
      <c r="D217" s="15">
        <v>100</v>
      </c>
      <c r="E217" s="15">
        <f t="shared" si="53"/>
        <v>6476.000000000001</v>
      </c>
      <c r="F217" s="13"/>
      <c r="G217" s="14">
        <v>68.14</v>
      </c>
      <c r="H217" s="15">
        <f t="shared" si="54"/>
        <v>6814</v>
      </c>
      <c r="I217" s="16">
        <f t="shared" si="55"/>
        <v>337.9999999999991</v>
      </c>
      <c r="J217" s="19">
        <f t="shared" si="60"/>
        <v>0.05219271155033957</v>
      </c>
      <c r="K217" s="95" t="s">
        <v>132</v>
      </c>
      <c r="L217" s="97">
        <v>60.06</v>
      </c>
      <c r="M217" s="41">
        <f t="shared" si="57"/>
        <v>60.12450000000001</v>
      </c>
      <c r="N217" s="118">
        <v>77.93</v>
      </c>
      <c r="O217" s="116"/>
      <c r="P217" s="116" t="s">
        <v>80</v>
      </c>
      <c r="Q217" s="117"/>
      <c r="R217" s="118"/>
      <c r="S217" s="117"/>
      <c r="T217" s="116"/>
      <c r="V217" s="131"/>
    </row>
    <row r="218" spans="1:22" s="114" customFormat="1" ht="15">
      <c r="A218" s="12" t="s">
        <v>60</v>
      </c>
      <c r="B218" s="65">
        <v>42012.27569444444</v>
      </c>
      <c r="C218" s="14">
        <v>75.9</v>
      </c>
      <c r="D218" s="15">
        <v>190</v>
      </c>
      <c r="E218" s="15">
        <f t="shared" si="53"/>
        <v>14432.000000000002</v>
      </c>
      <c r="F218" s="13"/>
      <c r="G218" s="14">
        <v>84.89</v>
      </c>
      <c r="H218" s="15">
        <f t="shared" si="54"/>
        <v>16129.1</v>
      </c>
      <c r="I218" s="16">
        <f t="shared" si="55"/>
        <v>1697.0999999999985</v>
      </c>
      <c r="J218" s="19">
        <f t="shared" si="60"/>
        <v>0.11759284922394667</v>
      </c>
      <c r="K218" s="95" t="s">
        <v>86</v>
      </c>
      <c r="L218" s="119">
        <v>73.96</v>
      </c>
      <c r="M218" s="41">
        <f t="shared" si="57"/>
        <v>70.587</v>
      </c>
      <c r="N218" s="118">
        <v>97.93</v>
      </c>
      <c r="O218" s="121">
        <f>WORKDAY(B220,40,'Weekly Summary'!P$2:P$10)</f>
        <v>42073</v>
      </c>
      <c r="P218" s="116" t="s">
        <v>60</v>
      </c>
      <c r="Q218" s="117">
        <v>86.5</v>
      </c>
      <c r="R218" s="118">
        <f>Q218*0.855</f>
        <v>73.9575</v>
      </c>
      <c r="S218" s="117">
        <f>1.11*C218</f>
        <v>84.24900000000001</v>
      </c>
      <c r="T218" s="116"/>
      <c r="V218" s="131"/>
    </row>
    <row r="219" spans="1:22" s="114" customFormat="1" ht="15">
      <c r="A219" s="12" t="s">
        <v>60</v>
      </c>
      <c r="B219" s="65">
        <v>42012.520833333336</v>
      </c>
      <c r="C219" s="14">
        <v>78</v>
      </c>
      <c r="D219" s="15">
        <v>110</v>
      </c>
      <c r="E219" s="15">
        <f t="shared" si="53"/>
        <v>8591</v>
      </c>
      <c r="F219" s="13"/>
      <c r="G219" s="14">
        <v>84.89</v>
      </c>
      <c r="H219" s="15">
        <f t="shared" si="54"/>
        <v>9337.9</v>
      </c>
      <c r="I219" s="16">
        <f t="shared" si="55"/>
        <v>746.8999999999996</v>
      </c>
      <c r="J219" s="19">
        <f t="shared" si="60"/>
        <v>0.0869398207426376</v>
      </c>
      <c r="K219" s="95" t="s">
        <v>87</v>
      </c>
      <c r="L219" s="119">
        <v>73.96</v>
      </c>
      <c r="M219" s="41">
        <f t="shared" si="57"/>
        <v>72.54</v>
      </c>
      <c r="N219" s="118">
        <v>97.93</v>
      </c>
      <c r="P219" s="116" t="s">
        <v>60</v>
      </c>
      <c r="Q219" s="117"/>
      <c r="R219" s="118"/>
      <c r="S219" s="117"/>
      <c r="T219" s="116"/>
      <c r="V219" s="131"/>
    </row>
    <row r="220" spans="1:20" s="114" customFormat="1" ht="15">
      <c r="A220" s="12" t="s">
        <v>60</v>
      </c>
      <c r="B220" s="65">
        <v>42013.274305555555</v>
      </c>
      <c r="C220" s="14">
        <v>79.2</v>
      </c>
      <c r="D220" s="15">
        <v>70</v>
      </c>
      <c r="E220" s="15">
        <f t="shared" si="53"/>
        <v>5555</v>
      </c>
      <c r="F220" s="13"/>
      <c r="G220" s="14">
        <v>84.89</v>
      </c>
      <c r="H220" s="15">
        <f t="shared" si="54"/>
        <v>5942.3</v>
      </c>
      <c r="I220" s="16">
        <f t="shared" si="55"/>
        <v>387.3000000000002</v>
      </c>
      <c r="J220" s="19">
        <f t="shared" si="60"/>
        <v>0.06972097209720976</v>
      </c>
      <c r="K220" s="95" t="s">
        <v>88</v>
      </c>
      <c r="L220" s="119">
        <v>73.96</v>
      </c>
      <c r="M220" s="41">
        <f t="shared" si="57"/>
        <v>73.656</v>
      </c>
      <c r="N220" s="118">
        <v>97.93</v>
      </c>
      <c r="O220" s="116"/>
      <c r="P220" s="116" t="s">
        <v>60</v>
      </c>
      <c r="Q220" s="117"/>
      <c r="R220" s="118"/>
      <c r="S220" s="117"/>
      <c r="T220" s="116"/>
    </row>
    <row r="221" spans="1:20" s="114" customFormat="1" ht="15">
      <c r="A221" s="12" t="s">
        <v>73</v>
      </c>
      <c r="B221" s="65">
        <v>42017.27847222222</v>
      </c>
      <c r="C221" s="14">
        <v>21.2</v>
      </c>
      <c r="D221" s="15">
        <v>680</v>
      </c>
      <c r="E221" s="15">
        <f t="shared" si="53"/>
        <v>14427</v>
      </c>
      <c r="F221" s="13"/>
      <c r="G221" s="14">
        <v>24.9</v>
      </c>
      <c r="H221" s="15">
        <f t="shared" si="54"/>
        <v>16932</v>
      </c>
      <c r="I221" s="16">
        <f t="shared" si="55"/>
        <v>2505</v>
      </c>
      <c r="J221" s="19">
        <f t="shared" si="60"/>
        <v>0.173632771886047</v>
      </c>
      <c r="K221" s="95" t="s">
        <v>111</v>
      </c>
      <c r="L221" s="119">
        <v>22.08</v>
      </c>
      <c r="M221" s="41">
        <f t="shared" si="57"/>
        <v>19.716</v>
      </c>
      <c r="N221" s="118">
        <v>26.43</v>
      </c>
      <c r="O221" s="121">
        <f>WORKDAY(B221,40,'Weekly Summary'!P$2:P$10)</f>
        <v>42075</v>
      </c>
      <c r="P221" s="116" t="s">
        <v>73</v>
      </c>
      <c r="Q221" s="117">
        <v>25.82</v>
      </c>
      <c r="R221" s="118">
        <f>Q221*0.855</f>
        <v>22.0761</v>
      </c>
      <c r="S221" s="117">
        <f>1.11*C221</f>
        <v>23.532</v>
      </c>
      <c r="T221" s="116"/>
    </row>
    <row r="222" spans="1:20" s="114" customFormat="1" ht="15">
      <c r="A222" s="12" t="s">
        <v>73</v>
      </c>
      <c r="B222" s="65">
        <v>42020.5375</v>
      </c>
      <c r="C222" s="14">
        <v>21.73</v>
      </c>
      <c r="D222" s="15">
        <v>400</v>
      </c>
      <c r="E222" s="15">
        <f t="shared" si="53"/>
        <v>8703</v>
      </c>
      <c r="F222" s="13"/>
      <c r="G222" s="14">
        <v>24.9</v>
      </c>
      <c r="H222" s="15">
        <f t="shared" si="54"/>
        <v>9960</v>
      </c>
      <c r="I222" s="16">
        <f t="shared" si="55"/>
        <v>1257</v>
      </c>
      <c r="J222" s="19">
        <f t="shared" si="60"/>
        <v>0.14443295415374008</v>
      </c>
      <c r="K222" s="95" t="s">
        <v>119</v>
      </c>
      <c r="L222" s="119">
        <v>22.08</v>
      </c>
      <c r="M222" s="41">
        <f t="shared" si="57"/>
        <v>20.2089</v>
      </c>
      <c r="N222" s="118">
        <v>26.43</v>
      </c>
      <c r="O222" s="116"/>
      <c r="P222" s="116" t="s">
        <v>73</v>
      </c>
      <c r="Q222" s="117"/>
      <c r="R222" s="118"/>
      <c r="S222" s="117"/>
      <c r="T222" s="116"/>
    </row>
    <row r="223" spans="1:20" s="114" customFormat="1" ht="15">
      <c r="A223" s="12" t="s">
        <v>73</v>
      </c>
      <c r="B223" s="65">
        <v>42024.39791666667</v>
      </c>
      <c r="C223" s="14">
        <v>22.2</v>
      </c>
      <c r="D223" s="15">
        <v>260</v>
      </c>
      <c r="E223" s="15">
        <f t="shared" si="53"/>
        <v>5783</v>
      </c>
      <c r="F223" s="13"/>
      <c r="G223" s="14">
        <v>24.9</v>
      </c>
      <c r="H223" s="15">
        <f t="shared" si="54"/>
        <v>6474</v>
      </c>
      <c r="I223" s="16">
        <f t="shared" si="55"/>
        <v>691</v>
      </c>
      <c r="J223" s="19">
        <f t="shared" si="60"/>
        <v>0.11948815493688397</v>
      </c>
      <c r="K223" s="95" t="s">
        <v>118</v>
      </c>
      <c r="L223" s="119">
        <v>22.08</v>
      </c>
      <c r="M223" s="41">
        <f t="shared" si="57"/>
        <v>20.646</v>
      </c>
      <c r="N223" s="118">
        <v>26.43</v>
      </c>
      <c r="O223" s="116"/>
      <c r="P223" s="116" t="s">
        <v>73</v>
      </c>
      <c r="Q223" s="117"/>
      <c r="R223" s="118"/>
      <c r="S223" s="117"/>
      <c r="T223" s="116"/>
    </row>
    <row r="224" spans="1:20" s="114" customFormat="1" ht="15">
      <c r="A224" s="85" t="s">
        <v>73</v>
      </c>
      <c r="B224" s="65">
        <v>42061.27222222222</v>
      </c>
      <c r="C224" s="14">
        <v>23.5</v>
      </c>
      <c r="D224" s="15">
        <v>260</v>
      </c>
      <c r="E224" s="15">
        <f t="shared" si="53"/>
        <v>6121</v>
      </c>
      <c r="F224" s="13"/>
      <c r="G224" s="14">
        <v>24.9</v>
      </c>
      <c r="H224" s="15">
        <f t="shared" si="54"/>
        <v>6474</v>
      </c>
      <c r="I224" s="16">
        <f t="shared" si="55"/>
        <v>353</v>
      </c>
      <c r="J224" s="19">
        <f t="shared" si="60"/>
        <v>0.057670315307956216</v>
      </c>
      <c r="K224" s="95" t="s">
        <v>147</v>
      </c>
      <c r="L224" s="119">
        <v>22.08</v>
      </c>
      <c r="M224" s="41">
        <f t="shared" si="57"/>
        <v>21.855</v>
      </c>
      <c r="N224" s="118">
        <v>26.43</v>
      </c>
      <c r="O224" s="116"/>
      <c r="P224" s="116" t="s">
        <v>73</v>
      </c>
      <c r="Q224" s="117"/>
      <c r="R224" s="118"/>
      <c r="S224" s="117"/>
      <c r="T224" s="116"/>
    </row>
    <row r="225" spans="1:20" s="114" customFormat="1" ht="15">
      <c r="A225" s="12" t="s">
        <v>58</v>
      </c>
      <c r="B225" s="65">
        <v>42020.27291666667</v>
      </c>
      <c r="C225" s="14">
        <v>40.8</v>
      </c>
      <c r="D225" s="15">
        <v>350</v>
      </c>
      <c r="E225" s="15">
        <f t="shared" si="53"/>
        <v>14290.999999999998</v>
      </c>
      <c r="F225" s="13"/>
      <c r="G225" s="14">
        <v>53.81</v>
      </c>
      <c r="H225" s="15">
        <f t="shared" si="54"/>
        <v>18833.5</v>
      </c>
      <c r="I225" s="16">
        <f t="shared" si="55"/>
        <v>4542.500000000002</v>
      </c>
      <c r="J225" s="19">
        <f t="shared" si="60"/>
        <v>0.3178573927646772</v>
      </c>
      <c r="K225" s="95" t="s">
        <v>120</v>
      </c>
      <c r="L225" s="119">
        <v>45.29</v>
      </c>
      <c r="M225" s="41">
        <f t="shared" si="57"/>
        <v>37.944</v>
      </c>
      <c r="N225" s="118">
        <v>56.56</v>
      </c>
      <c r="O225" s="121">
        <f>WORKDAY(B229,40,'Weekly Summary'!P$2:P$10)</f>
        <v>42100</v>
      </c>
      <c r="P225" s="116" t="s">
        <v>58</v>
      </c>
      <c r="Q225" s="117">
        <v>55.86</v>
      </c>
      <c r="R225" s="118">
        <f>Q225*0.855</f>
        <v>47.7603</v>
      </c>
      <c r="S225" s="117">
        <f>1.11*C225</f>
        <v>45.288000000000004</v>
      </c>
      <c r="T225" s="116"/>
    </row>
    <row r="226" spans="1:20" s="114" customFormat="1" ht="15">
      <c r="A226" s="12" t="s">
        <v>58</v>
      </c>
      <c r="B226" s="65">
        <v>42024.35486111111</v>
      </c>
      <c r="C226" s="14">
        <v>42.9</v>
      </c>
      <c r="D226" s="15">
        <v>200</v>
      </c>
      <c r="E226" s="15">
        <f t="shared" si="53"/>
        <v>8591</v>
      </c>
      <c r="F226" s="13"/>
      <c r="G226" s="14">
        <v>53.81</v>
      </c>
      <c r="H226" s="15">
        <f t="shared" si="54"/>
        <v>10762</v>
      </c>
      <c r="I226" s="16">
        <f t="shared" si="55"/>
        <v>2171</v>
      </c>
      <c r="J226" s="19">
        <f t="shared" si="60"/>
        <v>0.2527063205680363</v>
      </c>
      <c r="K226" s="95" t="s">
        <v>121</v>
      </c>
      <c r="L226" s="119">
        <v>45.29</v>
      </c>
      <c r="M226" s="41">
        <f t="shared" si="57"/>
        <v>39.897</v>
      </c>
      <c r="N226" s="118">
        <v>56.56</v>
      </c>
      <c r="O226" s="116"/>
      <c r="P226" s="116" t="s">
        <v>58</v>
      </c>
      <c r="Q226" s="117"/>
      <c r="R226" s="118"/>
      <c r="S226" s="117"/>
      <c r="T226" s="116"/>
    </row>
    <row r="227" spans="1:20" s="114" customFormat="1" ht="15">
      <c r="A227" s="12" t="s">
        <v>58</v>
      </c>
      <c r="B227" s="65">
        <v>42039.3375</v>
      </c>
      <c r="C227" s="14">
        <v>43.9</v>
      </c>
      <c r="D227" s="15">
        <v>130</v>
      </c>
      <c r="E227" s="15">
        <f t="shared" si="53"/>
        <v>5718</v>
      </c>
      <c r="F227" s="13"/>
      <c r="G227" s="14">
        <v>53.81</v>
      </c>
      <c r="H227" s="15">
        <f t="shared" si="54"/>
        <v>6995.3</v>
      </c>
      <c r="I227" s="16">
        <f t="shared" si="55"/>
        <v>1277.3000000000002</v>
      </c>
      <c r="J227" s="19">
        <f t="shared" si="60"/>
        <v>0.2233823015040224</v>
      </c>
      <c r="K227" s="95" t="s">
        <v>130</v>
      </c>
      <c r="L227" s="119">
        <v>45.29</v>
      </c>
      <c r="M227" s="41">
        <f t="shared" si="57"/>
        <v>40.827</v>
      </c>
      <c r="N227" s="118">
        <v>56.56</v>
      </c>
      <c r="O227" s="116"/>
      <c r="P227" s="116" t="s">
        <v>58</v>
      </c>
      <c r="Q227" s="117"/>
      <c r="R227" s="118"/>
      <c r="S227" s="117"/>
      <c r="T227" s="116"/>
    </row>
    <row r="228" spans="1:20" s="114" customFormat="1" ht="15">
      <c r="A228" s="12" t="s">
        <v>58</v>
      </c>
      <c r="B228" s="65">
        <v>42061.271527777775</v>
      </c>
      <c r="C228" s="14">
        <v>49.85</v>
      </c>
      <c r="D228" s="15">
        <v>130</v>
      </c>
      <c r="E228" s="15">
        <f t="shared" si="53"/>
        <v>6491.5</v>
      </c>
      <c r="F228" s="13"/>
      <c r="G228" s="14">
        <v>53.81</v>
      </c>
      <c r="H228" s="15">
        <f t="shared" si="54"/>
        <v>6995.3</v>
      </c>
      <c r="I228" s="16">
        <f t="shared" si="55"/>
        <v>503.8000000000002</v>
      </c>
      <c r="J228" s="19">
        <f t="shared" si="60"/>
        <v>0.07760918123700226</v>
      </c>
      <c r="K228" s="95" t="s">
        <v>132</v>
      </c>
      <c r="L228" s="119"/>
      <c r="M228" s="20">
        <f t="shared" si="57"/>
        <v>46.3605</v>
      </c>
      <c r="N228" s="118">
        <v>56.56</v>
      </c>
      <c r="O228" s="116"/>
      <c r="P228" s="116" t="s">
        <v>58</v>
      </c>
      <c r="Q228" s="117"/>
      <c r="R228" s="118"/>
      <c r="S228" s="117"/>
      <c r="T228" s="116"/>
    </row>
    <row r="229" spans="1:20" s="114" customFormat="1" ht="15">
      <c r="A229" s="12" t="s">
        <v>61</v>
      </c>
      <c r="B229" s="65">
        <v>42040.27847222222</v>
      </c>
      <c r="C229" s="14">
        <v>132.85</v>
      </c>
      <c r="D229" s="15">
        <v>110</v>
      </c>
      <c r="E229" s="15">
        <f t="shared" si="53"/>
        <v>14624.5</v>
      </c>
      <c r="F229" s="13"/>
      <c r="G229" s="14">
        <v>140.76</v>
      </c>
      <c r="H229" s="15">
        <f t="shared" si="54"/>
        <v>15483.599999999999</v>
      </c>
      <c r="I229" s="16">
        <f t="shared" si="55"/>
        <v>859.0999999999985</v>
      </c>
      <c r="J229" s="19">
        <f t="shared" si="60"/>
        <v>0.058743888679954774</v>
      </c>
      <c r="K229" s="95" t="s">
        <v>134</v>
      </c>
      <c r="L229" s="119"/>
      <c r="M229" s="20">
        <f t="shared" si="57"/>
        <v>123.5505</v>
      </c>
      <c r="N229" s="118">
        <v>168.13</v>
      </c>
      <c r="O229" s="121">
        <v>42086</v>
      </c>
      <c r="P229" s="116" t="s">
        <v>61</v>
      </c>
      <c r="Q229" s="117">
        <v>143.34</v>
      </c>
      <c r="R229" s="118">
        <f>Q229*0.855</f>
        <v>122.5557</v>
      </c>
      <c r="S229" s="117">
        <f>1.11*C229</f>
        <v>147.4635</v>
      </c>
      <c r="T229" s="116"/>
    </row>
    <row r="230" spans="1:20" s="114" customFormat="1" ht="15">
      <c r="A230" s="12" t="s">
        <v>61</v>
      </c>
      <c r="B230" s="65">
        <v>42045.27291666667</v>
      </c>
      <c r="C230" s="14">
        <v>135.9</v>
      </c>
      <c r="D230" s="15">
        <v>65</v>
      </c>
      <c r="E230" s="15">
        <f t="shared" si="53"/>
        <v>8844.5</v>
      </c>
      <c r="F230" s="13"/>
      <c r="G230" s="14">
        <v>140.76</v>
      </c>
      <c r="H230" s="15">
        <f t="shared" si="54"/>
        <v>9149.4</v>
      </c>
      <c r="I230" s="16">
        <f t="shared" si="55"/>
        <v>304.89999999999964</v>
      </c>
      <c r="J230" s="19">
        <f t="shared" si="60"/>
        <v>0.034473401548985205</v>
      </c>
      <c r="K230" s="95" t="s">
        <v>141</v>
      </c>
      <c r="L230" s="119"/>
      <c r="M230" s="20">
        <f t="shared" si="57"/>
        <v>126.38700000000001</v>
      </c>
      <c r="N230" s="118">
        <v>168.13</v>
      </c>
      <c r="O230" s="116"/>
      <c r="P230" s="116" t="s">
        <v>61</v>
      </c>
      <c r="Q230" s="117"/>
      <c r="R230" s="118"/>
      <c r="S230" s="117"/>
      <c r="T230" s="116"/>
    </row>
    <row r="231" spans="1:20" s="114" customFormat="1" ht="15">
      <c r="A231" s="12" t="s">
        <v>61</v>
      </c>
      <c r="B231" s="65">
        <v>42054.277083333334</v>
      </c>
      <c r="C231" s="14">
        <v>139.17</v>
      </c>
      <c r="D231" s="15">
        <v>40</v>
      </c>
      <c r="E231" s="15">
        <f t="shared" si="53"/>
        <v>5577.799999999999</v>
      </c>
      <c r="F231" s="13"/>
      <c r="G231" s="14">
        <v>140.76</v>
      </c>
      <c r="H231" s="15">
        <f t="shared" si="54"/>
        <v>5630.4</v>
      </c>
      <c r="I231" s="16">
        <f t="shared" si="55"/>
        <v>52.600000000000364</v>
      </c>
      <c r="J231" s="19">
        <f t="shared" si="60"/>
        <v>0.009430241313779692</v>
      </c>
      <c r="K231" s="95" t="s">
        <v>140</v>
      </c>
      <c r="L231" s="119"/>
      <c r="M231" s="20">
        <f t="shared" si="57"/>
        <v>129.4281</v>
      </c>
      <c r="N231" s="118">
        <v>168.13</v>
      </c>
      <c r="O231" s="116"/>
      <c r="P231" s="116" t="s">
        <v>61</v>
      </c>
      <c r="Q231" s="117"/>
      <c r="R231" s="118"/>
      <c r="S231" s="117"/>
      <c r="T231" s="116"/>
    </row>
    <row r="232" spans="1:20" s="114" customFormat="1" ht="15">
      <c r="A232" s="12" t="s">
        <v>52</v>
      </c>
      <c r="B232" s="65">
        <v>42046.27361111111</v>
      </c>
      <c r="C232" s="14">
        <v>129.75</v>
      </c>
      <c r="D232" s="15">
        <v>80</v>
      </c>
      <c r="E232" s="15">
        <f t="shared" si="53"/>
        <v>10391</v>
      </c>
      <c r="F232" s="13"/>
      <c r="G232" s="14">
        <v>142.22</v>
      </c>
      <c r="H232" s="15">
        <f t="shared" si="54"/>
        <v>11377.6</v>
      </c>
      <c r="I232" s="16">
        <f t="shared" si="55"/>
        <v>986.6000000000004</v>
      </c>
      <c r="J232" s="19">
        <f t="shared" si="60"/>
        <v>0.09494755076508521</v>
      </c>
      <c r="K232" s="95" t="s">
        <v>135</v>
      </c>
      <c r="L232" s="119">
        <v>125.07</v>
      </c>
      <c r="M232" s="41">
        <f t="shared" si="57"/>
        <v>120.6675</v>
      </c>
      <c r="N232" s="118">
        <v>161.78</v>
      </c>
      <c r="O232" s="121">
        <f>WORKDAY(B232,40,'Weekly Summary'!P$2:P$10)</f>
        <v>42104</v>
      </c>
      <c r="P232" s="116" t="s">
        <v>52</v>
      </c>
      <c r="Q232" s="117">
        <v>146.28</v>
      </c>
      <c r="R232" s="118">
        <f>Q232*0.855</f>
        <v>125.0694</v>
      </c>
      <c r="S232" s="117">
        <f>1.11*C232</f>
        <v>144.0225</v>
      </c>
      <c r="T232" s="116"/>
    </row>
    <row r="233" spans="1:20" s="114" customFormat="1" ht="15">
      <c r="A233" s="12" t="s">
        <v>52</v>
      </c>
      <c r="B233" s="65">
        <v>42047.275</v>
      </c>
      <c r="C233" s="14">
        <v>133.95</v>
      </c>
      <c r="D233" s="15">
        <v>45</v>
      </c>
      <c r="E233" s="15">
        <f t="shared" si="53"/>
        <v>6038.749999999999</v>
      </c>
      <c r="F233" s="13"/>
      <c r="G233" s="14">
        <v>142.22</v>
      </c>
      <c r="H233" s="15">
        <f t="shared" si="54"/>
        <v>6399.9</v>
      </c>
      <c r="I233" s="16">
        <f t="shared" si="55"/>
        <v>361.15000000000055</v>
      </c>
      <c r="J233" s="19">
        <f t="shared" si="60"/>
        <v>0.05980542330780387</v>
      </c>
      <c r="K233" s="95" t="s">
        <v>136</v>
      </c>
      <c r="L233" s="119">
        <v>125.07</v>
      </c>
      <c r="M233" s="41">
        <f t="shared" si="57"/>
        <v>124.5735</v>
      </c>
      <c r="N233" s="118">
        <v>161.78</v>
      </c>
      <c r="O233" s="116"/>
      <c r="P233" s="116" t="s">
        <v>52</v>
      </c>
      <c r="Q233" s="117"/>
      <c r="R233" s="118"/>
      <c r="S233" s="117"/>
      <c r="T233" s="116"/>
    </row>
    <row r="234" spans="1:20" s="114" customFormat="1" ht="15">
      <c r="A234" s="12" t="s">
        <v>52</v>
      </c>
      <c r="B234" s="65">
        <v>42048.450694444444</v>
      </c>
      <c r="C234" s="14">
        <v>135.8</v>
      </c>
      <c r="D234" s="15">
        <v>30</v>
      </c>
      <c r="E234" s="15">
        <f t="shared" si="53"/>
        <v>4085.0000000000005</v>
      </c>
      <c r="F234" s="13"/>
      <c r="G234" s="14">
        <v>142.22</v>
      </c>
      <c r="H234" s="15">
        <f t="shared" si="54"/>
        <v>4266.6</v>
      </c>
      <c r="I234" s="16">
        <f t="shared" si="55"/>
        <v>181.5999999999999</v>
      </c>
      <c r="J234" s="19">
        <f t="shared" si="60"/>
        <v>0.04445532435740512</v>
      </c>
      <c r="K234" s="95" t="s">
        <v>143</v>
      </c>
      <c r="L234" s="119"/>
      <c r="M234" s="20">
        <f t="shared" si="57"/>
        <v>126.29400000000001</v>
      </c>
      <c r="N234" s="118">
        <v>161.78</v>
      </c>
      <c r="O234" s="116"/>
      <c r="P234" s="116" t="s">
        <v>52</v>
      </c>
      <c r="Q234" s="117"/>
      <c r="R234" s="118"/>
      <c r="S234" s="117"/>
      <c r="T234" s="116"/>
    </row>
    <row r="235" spans="1:20" s="114" customFormat="1" ht="15">
      <c r="A235" s="85" t="s">
        <v>39</v>
      </c>
      <c r="B235" s="65">
        <v>42062.53680555556</v>
      </c>
      <c r="C235" s="14">
        <v>57.65</v>
      </c>
      <c r="D235" s="15">
        <v>100</v>
      </c>
      <c r="E235" s="15">
        <f t="shared" si="53"/>
        <v>5776</v>
      </c>
      <c r="F235" s="13"/>
      <c r="G235" s="14">
        <v>57.39</v>
      </c>
      <c r="H235" s="15">
        <f t="shared" si="54"/>
        <v>5739</v>
      </c>
      <c r="I235" s="16">
        <f t="shared" si="55"/>
        <v>-37</v>
      </c>
      <c r="J235" s="19">
        <f t="shared" si="60"/>
        <v>-0.006405817174515236</v>
      </c>
      <c r="K235" s="95" t="s">
        <v>149</v>
      </c>
      <c r="L235" s="119"/>
      <c r="M235" s="20">
        <f t="shared" si="57"/>
        <v>53.6145</v>
      </c>
      <c r="N235" s="118">
        <v>79</v>
      </c>
      <c r="O235" s="116"/>
      <c r="P235" s="116" t="s">
        <v>39</v>
      </c>
      <c r="Q235" s="117"/>
      <c r="R235" s="118"/>
      <c r="S235" s="117"/>
      <c r="T235" s="116"/>
    </row>
    <row r="236" spans="1:20" s="114" customFormat="1" ht="15">
      <c r="A236" s="12"/>
      <c r="B236" s="13"/>
      <c r="C236" s="14"/>
      <c r="D236" s="15"/>
      <c r="E236" s="15"/>
      <c r="F236" s="13"/>
      <c r="G236" s="14"/>
      <c r="H236" s="15"/>
      <c r="I236" s="16"/>
      <c r="J236" s="19"/>
      <c r="K236" s="95"/>
      <c r="L236" s="119"/>
      <c r="M236" s="32"/>
      <c r="N236" s="118"/>
      <c r="Q236" s="117"/>
      <c r="R236" s="117"/>
      <c r="S236" s="117"/>
      <c r="T236" s="116"/>
    </row>
    <row r="237" spans="1:20" s="114" customFormat="1" ht="15">
      <c r="A237" s="21" t="s">
        <v>14</v>
      </c>
      <c r="B237" s="22"/>
      <c r="C237" s="23"/>
      <c r="D237" s="24"/>
      <c r="E237" s="24">
        <f>SUM(E205:E236)</f>
        <v>269542.35</v>
      </c>
      <c r="F237" s="22"/>
      <c r="G237" s="23"/>
      <c r="H237" s="24">
        <f>SUM(H205:H236)</f>
        <v>307702.5</v>
      </c>
      <c r="I237" s="25">
        <f>SUM(I205:I236)</f>
        <v>38160.15000000001</v>
      </c>
      <c r="J237" s="26">
        <f>I237/E237</f>
        <v>0.1415738565757849</v>
      </c>
      <c r="K237" s="27" t="s">
        <v>15</v>
      </c>
      <c r="L237" s="28">
        <f>100000+I239</f>
        <v>135460.01</v>
      </c>
      <c r="M237" s="81"/>
      <c r="N237" s="89"/>
      <c r="Q237" s="117"/>
      <c r="R237" s="117"/>
      <c r="S237" s="117"/>
      <c r="T237" s="116"/>
    </row>
    <row r="238" spans="1:20" s="114" customFormat="1" ht="15">
      <c r="A238" s="12" t="s">
        <v>67</v>
      </c>
      <c r="B238" s="22"/>
      <c r="C238" s="25">
        <f>I239-I200</f>
        <v>14959.950000000012</v>
      </c>
      <c r="D238" s="26">
        <f>C238/H198</f>
        <v>0.05770760776671395</v>
      </c>
      <c r="E238" s="24"/>
      <c r="F238" s="22" t="s">
        <v>16</v>
      </c>
      <c r="G238" s="117"/>
      <c r="H238" s="29" t="str">
        <f>IF(ABS(H237-E237-I237)&lt;1,"","ERROR")</f>
        <v/>
      </c>
      <c r="I238" s="30">
        <v>-2700.1399999999994</v>
      </c>
      <c r="J238" s="26"/>
      <c r="K238" s="111" t="s">
        <v>17</v>
      </c>
      <c r="L238" s="28">
        <f>(2*(100000+I239))-E237</f>
        <v>1377.670000000042</v>
      </c>
      <c r="M238" s="31"/>
      <c r="Q238" s="117"/>
      <c r="R238" s="117"/>
      <c r="S238" s="117"/>
      <c r="T238" s="116"/>
    </row>
    <row r="239" spans="1:20" s="114" customFormat="1" ht="15">
      <c r="A239" s="12" t="s">
        <v>54</v>
      </c>
      <c r="B239" s="22"/>
      <c r="C239" s="25">
        <f>L237-L198</f>
        <v>14959.950000000012</v>
      </c>
      <c r="D239" s="26">
        <f>C239/L198</f>
        <v>0.12414890083872167</v>
      </c>
      <c r="E239" s="24"/>
      <c r="F239" s="22" t="s">
        <v>18</v>
      </c>
      <c r="G239" s="117"/>
      <c r="H239" s="29"/>
      <c r="I239" s="30">
        <f>I237+I238</f>
        <v>35460.01000000001</v>
      </c>
      <c r="J239" s="26">
        <f>I239/100000</f>
        <v>0.3546001000000001</v>
      </c>
      <c r="K239" s="111" t="s">
        <v>19</v>
      </c>
      <c r="L239" s="26">
        <f>E237/(2*(100000+I239))</f>
        <v>0.9949148460863098</v>
      </c>
      <c r="M239" s="31"/>
      <c r="Q239" s="117"/>
      <c r="R239" s="117"/>
      <c r="S239" s="117"/>
      <c r="T239" s="116"/>
    </row>
    <row r="240" spans="2:20" s="114" customFormat="1" ht="15">
      <c r="B240" s="22"/>
      <c r="C240" s="25"/>
      <c r="D240" s="26"/>
      <c r="E240" s="24"/>
      <c r="F240" s="22"/>
      <c r="G240" s="117"/>
      <c r="H240" s="29"/>
      <c r="I240" s="30"/>
      <c r="J240" s="26"/>
      <c r="K240" s="111"/>
      <c r="L240" s="26"/>
      <c r="M240" s="31"/>
      <c r="Q240" s="117"/>
      <c r="R240" s="117"/>
      <c r="S240" s="117"/>
      <c r="T240" s="116"/>
    </row>
    <row r="241" spans="1:20" s="114" customFormat="1" ht="15">
      <c r="A241" s="12"/>
      <c r="B241" s="22"/>
      <c r="C241" s="25"/>
      <c r="D241" s="26"/>
      <c r="E241" s="24"/>
      <c r="F241" s="22"/>
      <c r="G241" s="117"/>
      <c r="H241" s="29"/>
      <c r="I241" s="30"/>
      <c r="J241" s="26"/>
      <c r="K241" s="111"/>
      <c r="L241" s="26"/>
      <c r="M241" s="31"/>
      <c r="Q241" s="117"/>
      <c r="R241" s="117"/>
      <c r="S241" s="117"/>
      <c r="T241" s="116"/>
    </row>
    <row r="242" spans="1:20" s="114" customFormat="1" ht="30.75" customHeight="1">
      <c r="A242" s="108" t="s">
        <v>56</v>
      </c>
      <c r="B242" s="384" t="s">
        <v>148</v>
      </c>
      <c r="C242" s="384"/>
      <c r="D242" s="384"/>
      <c r="E242" s="384"/>
      <c r="F242" s="384"/>
      <c r="G242" s="384"/>
      <c r="H242" s="384"/>
      <c r="I242" s="384"/>
      <c r="J242" s="384"/>
      <c r="K242" s="384"/>
      <c r="L242" s="384"/>
      <c r="M242" s="384"/>
      <c r="N242" s="384"/>
      <c r="O242" s="92"/>
      <c r="P242" s="92"/>
      <c r="Q242" s="104"/>
      <c r="R242" s="104"/>
      <c r="S242" s="107"/>
      <c r="T242" s="109"/>
    </row>
    <row r="243" spans="1:22" s="114" customFormat="1" ht="15">
      <c r="A243" s="2" t="s">
        <v>0</v>
      </c>
      <c r="B243" s="3" t="s">
        <v>1</v>
      </c>
      <c r="C243" s="4" t="s">
        <v>2</v>
      </c>
      <c r="D243" s="5" t="s">
        <v>3</v>
      </c>
      <c r="E243" s="6" t="s">
        <v>4</v>
      </c>
      <c r="F243" s="3" t="s">
        <v>5</v>
      </c>
      <c r="G243" s="7" t="s">
        <v>2</v>
      </c>
      <c r="H243" s="6" t="s">
        <v>6</v>
      </c>
      <c r="I243" s="6" t="s">
        <v>7</v>
      </c>
      <c r="J243" s="8" t="s">
        <v>8</v>
      </c>
      <c r="K243" s="9" t="s">
        <v>9</v>
      </c>
      <c r="L243" s="10" t="s">
        <v>10</v>
      </c>
      <c r="M243" s="11" t="s">
        <v>11</v>
      </c>
      <c r="N243" s="103" t="s">
        <v>53</v>
      </c>
      <c r="O243" s="105" t="s">
        <v>110</v>
      </c>
      <c r="P243" s="106" t="s">
        <v>0</v>
      </c>
      <c r="Q243" s="117" t="s">
        <v>13</v>
      </c>
      <c r="R243" s="117" t="s">
        <v>70</v>
      </c>
      <c r="S243" s="111" t="s">
        <v>103</v>
      </c>
      <c r="T243" s="116" t="s">
        <v>107</v>
      </c>
      <c r="V243" s="9"/>
    </row>
    <row r="244" spans="1:22" s="114" customFormat="1" ht="15">
      <c r="A244" s="12" t="s">
        <v>92</v>
      </c>
      <c r="B244" s="65">
        <v>42010.447916666664</v>
      </c>
      <c r="C244" s="14">
        <v>111.9</v>
      </c>
      <c r="D244" s="15">
        <v>130</v>
      </c>
      <c r="E244" s="15">
        <f aca="true" t="shared" si="61" ref="E244:E275">C244*D244+11</f>
        <v>14558</v>
      </c>
      <c r="F244" s="13"/>
      <c r="G244" s="14">
        <v>136.62</v>
      </c>
      <c r="H244" s="15">
        <f aca="true" t="shared" si="62" ref="H244:H275">G244*D244</f>
        <v>17760.600000000002</v>
      </c>
      <c r="I244" s="16">
        <f aca="true" t="shared" si="63" ref="I244:I275">H244-E244</f>
        <v>3202.600000000002</v>
      </c>
      <c r="J244" s="19">
        <f aca="true" t="shared" si="64" ref="J244">I244/E244</f>
        <v>0.21998900947932423</v>
      </c>
      <c r="K244" s="95" t="s">
        <v>93</v>
      </c>
      <c r="L244" s="97">
        <v>123.03</v>
      </c>
      <c r="M244" s="41">
        <f aca="true" t="shared" si="65" ref="M244:M275">C244*0.93</f>
        <v>104.06700000000001</v>
      </c>
      <c r="N244" s="118">
        <v>141.88</v>
      </c>
      <c r="O244" s="121">
        <f>WORKDAY(B245,40,'Weekly Summary'!P$2:P$10)</f>
        <v>42069</v>
      </c>
      <c r="P244" s="116" t="s">
        <v>92</v>
      </c>
      <c r="Q244" s="117">
        <v>143.9</v>
      </c>
      <c r="R244" s="118">
        <f>Q244*0.855</f>
        <v>123.03450000000001</v>
      </c>
      <c r="S244" s="117">
        <f>1.11*C244</f>
        <v>124.20900000000002</v>
      </c>
      <c r="T244" s="116"/>
      <c r="V244" s="131"/>
    </row>
    <row r="245" spans="1:22" s="114" customFormat="1" ht="15">
      <c r="A245" s="12" t="s">
        <v>92</v>
      </c>
      <c r="B245" s="65">
        <v>42011.34305555555</v>
      </c>
      <c r="C245" s="14">
        <v>114.4</v>
      </c>
      <c r="D245" s="15">
        <v>75</v>
      </c>
      <c r="E245" s="15">
        <f t="shared" si="61"/>
        <v>8591</v>
      </c>
      <c r="F245" s="13"/>
      <c r="G245" s="14">
        <v>136.62</v>
      </c>
      <c r="H245" s="15">
        <f t="shared" si="62"/>
        <v>10246.5</v>
      </c>
      <c r="I245" s="16">
        <f t="shared" si="63"/>
        <v>1655.5</v>
      </c>
      <c r="J245" s="19">
        <f>I245/E245</f>
        <v>0.19270166453265045</v>
      </c>
      <c r="K245" s="95" t="s">
        <v>94</v>
      </c>
      <c r="L245" s="97">
        <v>123.03</v>
      </c>
      <c r="M245" s="41">
        <f t="shared" si="65"/>
        <v>106.39200000000001</v>
      </c>
      <c r="N245" s="118">
        <v>141.88</v>
      </c>
      <c r="O245" s="116"/>
      <c r="P245" s="116" t="s">
        <v>92</v>
      </c>
      <c r="Q245" s="117"/>
      <c r="R245" s="118"/>
      <c r="S245" s="117"/>
      <c r="T245" s="116"/>
      <c r="V245" s="131"/>
    </row>
    <row r="246" spans="1:22" s="114" customFormat="1" ht="15">
      <c r="A246" s="12" t="s">
        <v>92</v>
      </c>
      <c r="B246" s="65">
        <v>42012.39513888889</v>
      </c>
      <c r="C246" s="14">
        <v>117.75</v>
      </c>
      <c r="D246" s="15">
        <v>50</v>
      </c>
      <c r="E246" s="15">
        <f t="shared" si="61"/>
        <v>5898.5</v>
      </c>
      <c r="F246" s="13"/>
      <c r="G246" s="14">
        <v>136.62</v>
      </c>
      <c r="H246" s="15">
        <f t="shared" si="62"/>
        <v>6831</v>
      </c>
      <c r="I246" s="16">
        <f t="shared" si="63"/>
        <v>932.5</v>
      </c>
      <c r="J246" s="19">
        <f>I246/E246</f>
        <v>0.15809104009493938</v>
      </c>
      <c r="K246" s="95" t="s">
        <v>95</v>
      </c>
      <c r="L246" s="97">
        <v>123.03</v>
      </c>
      <c r="M246" s="41">
        <f t="shared" si="65"/>
        <v>109.50750000000001</v>
      </c>
      <c r="N246" s="118">
        <v>141.88</v>
      </c>
      <c r="O246" s="116"/>
      <c r="P246" s="116" t="s">
        <v>92</v>
      </c>
      <c r="Q246" s="117"/>
      <c r="R246" s="118"/>
      <c r="S246" s="117"/>
      <c r="T246" s="116"/>
      <c r="V246" s="131"/>
    </row>
    <row r="247" spans="1:22" s="114" customFormat="1" ht="15">
      <c r="A247" s="12" t="s">
        <v>92</v>
      </c>
      <c r="B247" s="65">
        <v>42061.55972222222</v>
      </c>
      <c r="C247" s="14">
        <v>131.5</v>
      </c>
      <c r="D247" s="15">
        <v>50</v>
      </c>
      <c r="E247" s="15">
        <f t="shared" si="61"/>
        <v>6586</v>
      </c>
      <c r="F247" s="13"/>
      <c r="G247" s="14">
        <v>136.62</v>
      </c>
      <c r="H247" s="15">
        <f t="shared" si="62"/>
        <v>6831</v>
      </c>
      <c r="I247" s="16">
        <f t="shared" si="63"/>
        <v>245</v>
      </c>
      <c r="J247" s="19">
        <f>I247/E247</f>
        <v>0.037200121469784395</v>
      </c>
      <c r="K247" s="95" t="s">
        <v>145</v>
      </c>
      <c r="L247" s="97">
        <v>123.03</v>
      </c>
      <c r="M247" s="41">
        <f t="shared" si="65"/>
        <v>122.295</v>
      </c>
      <c r="N247" s="118">
        <v>141.88</v>
      </c>
      <c r="O247" s="116"/>
      <c r="P247" s="116" t="s">
        <v>92</v>
      </c>
      <c r="Q247" s="117"/>
      <c r="R247" s="118"/>
      <c r="S247" s="117"/>
      <c r="T247" s="116"/>
      <c r="V247" s="131"/>
    </row>
    <row r="248" spans="1:22" s="114" customFormat="1" ht="15">
      <c r="A248" s="12" t="s">
        <v>64</v>
      </c>
      <c r="B248" s="65">
        <v>42011.27291666667</v>
      </c>
      <c r="C248" s="14">
        <v>70.75</v>
      </c>
      <c r="D248" s="15">
        <v>200</v>
      </c>
      <c r="E248" s="15">
        <f t="shared" si="61"/>
        <v>14161</v>
      </c>
      <c r="F248" s="13"/>
      <c r="G248" s="14">
        <v>90.75</v>
      </c>
      <c r="H248" s="15">
        <f t="shared" si="62"/>
        <v>18150</v>
      </c>
      <c r="I248" s="16">
        <f t="shared" si="63"/>
        <v>3989</v>
      </c>
      <c r="J248" s="19">
        <f aca="true" t="shared" si="66" ref="J248:J275">I248/E248</f>
        <v>0.28168914624673397</v>
      </c>
      <c r="K248" s="95" t="s">
        <v>74</v>
      </c>
      <c r="L248" s="97">
        <v>78.52</v>
      </c>
      <c r="M248" s="41">
        <f t="shared" si="65"/>
        <v>65.7975</v>
      </c>
      <c r="N248" s="118">
        <v>93.71</v>
      </c>
      <c r="O248" s="121">
        <f>WORKDAY(B250,40,'Weekly Summary'!P$2:P$10)</f>
        <v>42081</v>
      </c>
      <c r="P248" s="116" t="s">
        <v>79</v>
      </c>
      <c r="Q248" s="117">
        <v>91.84</v>
      </c>
      <c r="R248" s="118">
        <f>Q248*0.855</f>
        <v>78.5232</v>
      </c>
      <c r="S248" s="117">
        <f>1.11*C248</f>
        <v>78.53250000000001</v>
      </c>
      <c r="T248" s="116"/>
      <c r="V248" s="131"/>
    </row>
    <row r="249" spans="1:22" s="114" customFormat="1" ht="15">
      <c r="A249" s="12" t="s">
        <v>64</v>
      </c>
      <c r="B249" s="65">
        <v>42012.27847222222</v>
      </c>
      <c r="C249" s="14">
        <v>72.34</v>
      </c>
      <c r="D249" s="15">
        <v>120</v>
      </c>
      <c r="E249" s="15">
        <f t="shared" si="61"/>
        <v>8691.800000000001</v>
      </c>
      <c r="F249" s="13"/>
      <c r="G249" s="14">
        <v>90.75</v>
      </c>
      <c r="H249" s="15">
        <f t="shared" si="62"/>
        <v>10890</v>
      </c>
      <c r="I249" s="16">
        <f t="shared" si="63"/>
        <v>2198.199999999999</v>
      </c>
      <c r="J249" s="19">
        <f t="shared" si="66"/>
        <v>0.25290503693136046</v>
      </c>
      <c r="K249" s="95" t="s">
        <v>117</v>
      </c>
      <c r="L249" s="97">
        <v>78.52</v>
      </c>
      <c r="M249" s="41">
        <f t="shared" si="65"/>
        <v>67.2762</v>
      </c>
      <c r="N249" s="118">
        <v>93.71</v>
      </c>
      <c r="O249" s="116"/>
      <c r="P249" s="116" t="s">
        <v>79</v>
      </c>
      <c r="Q249" s="117"/>
      <c r="R249" s="118"/>
      <c r="S249" s="117"/>
      <c r="T249" s="116"/>
      <c r="V249" s="131"/>
    </row>
    <row r="250" spans="1:22" s="114" customFormat="1" ht="15">
      <c r="A250" s="12" t="s">
        <v>64</v>
      </c>
      <c r="B250" s="65">
        <v>42024.27291666667</v>
      </c>
      <c r="C250" s="14">
        <v>75.2</v>
      </c>
      <c r="D250" s="15">
        <v>80</v>
      </c>
      <c r="E250" s="15">
        <f t="shared" si="61"/>
        <v>6027</v>
      </c>
      <c r="F250" s="13"/>
      <c r="G250" s="14">
        <v>90.75</v>
      </c>
      <c r="H250" s="15">
        <f t="shared" si="62"/>
        <v>7260</v>
      </c>
      <c r="I250" s="16">
        <f t="shared" si="63"/>
        <v>1233</v>
      </c>
      <c r="J250" s="19">
        <f t="shared" si="66"/>
        <v>0.20457939273270284</v>
      </c>
      <c r="K250" s="95" t="s">
        <v>138</v>
      </c>
      <c r="L250" s="97">
        <v>78.52</v>
      </c>
      <c r="M250" s="41">
        <f t="shared" si="65"/>
        <v>69.936</v>
      </c>
      <c r="N250" s="118">
        <v>93.71</v>
      </c>
      <c r="O250" s="116"/>
      <c r="P250" s="116" t="s">
        <v>79</v>
      </c>
      <c r="Q250" s="117"/>
      <c r="R250" s="118"/>
      <c r="S250" s="117"/>
      <c r="T250" s="116"/>
      <c r="V250" s="131"/>
    </row>
    <row r="251" spans="1:22" s="114" customFormat="1" ht="15">
      <c r="A251" s="12" t="s">
        <v>64</v>
      </c>
      <c r="B251" s="65">
        <v>42052.277083333334</v>
      </c>
      <c r="C251" s="14">
        <v>81.6</v>
      </c>
      <c r="D251" s="15">
        <v>80</v>
      </c>
      <c r="E251" s="15">
        <f t="shared" si="61"/>
        <v>6539</v>
      </c>
      <c r="F251" s="13"/>
      <c r="G251" s="14">
        <v>90.75</v>
      </c>
      <c r="H251" s="15">
        <f t="shared" si="62"/>
        <v>7260</v>
      </c>
      <c r="I251" s="16">
        <f t="shared" si="63"/>
        <v>721</v>
      </c>
      <c r="J251" s="19">
        <f t="shared" si="66"/>
        <v>0.11026150787582199</v>
      </c>
      <c r="K251" s="95" t="s">
        <v>139</v>
      </c>
      <c r="L251" s="97">
        <v>78.52</v>
      </c>
      <c r="M251" s="41">
        <f t="shared" si="65"/>
        <v>75.888</v>
      </c>
      <c r="N251" s="118">
        <v>93.71</v>
      </c>
      <c r="O251" s="116"/>
      <c r="P251" s="116" t="s">
        <v>79</v>
      </c>
      <c r="Q251" s="117"/>
      <c r="R251" s="118"/>
      <c r="S251" s="117"/>
      <c r="T251" s="116"/>
      <c r="V251" s="131"/>
    </row>
    <row r="252" spans="1:22" s="114" customFormat="1" ht="15">
      <c r="A252" s="12" t="s">
        <v>79</v>
      </c>
      <c r="B252" s="65">
        <v>42058.27361111111</v>
      </c>
      <c r="C252" s="14">
        <v>85.2</v>
      </c>
      <c r="D252" s="15">
        <v>100</v>
      </c>
      <c r="E252" s="15">
        <f t="shared" si="61"/>
        <v>8531</v>
      </c>
      <c r="F252" s="13"/>
      <c r="G252" s="14">
        <v>90.75</v>
      </c>
      <c r="H252" s="15">
        <f t="shared" si="62"/>
        <v>9075</v>
      </c>
      <c r="I252" s="16">
        <f t="shared" si="63"/>
        <v>544</v>
      </c>
      <c r="J252" s="19">
        <f t="shared" si="66"/>
        <v>0.06376743640839291</v>
      </c>
      <c r="K252" s="95" t="s">
        <v>146</v>
      </c>
      <c r="L252" s="97"/>
      <c r="M252" s="20">
        <f t="shared" si="65"/>
        <v>79.236</v>
      </c>
      <c r="N252" s="118"/>
      <c r="O252" s="116"/>
      <c r="P252" s="116" t="s">
        <v>79</v>
      </c>
      <c r="Q252" s="117"/>
      <c r="R252" s="118"/>
      <c r="S252" s="117"/>
      <c r="T252" s="116"/>
      <c r="V252" s="131"/>
    </row>
    <row r="253" spans="1:22" s="114" customFormat="1" ht="15">
      <c r="A253" s="12" t="s">
        <v>80</v>
      </c>
      <c r="B253" s="65">
        <v>42011.30486111111</v>
      </c>
      <c r="C253" s="14">
        <v>58.02</v>
      </c>
      <c r="D253" s="15">
        <v>250</v>
      </c>
      <c r="E253" s="15">
        <f t="shared" si="61"/>
        <v>14516</v>
      </c>
      <c r="F253" s="13"/>
      <c r="G253" s="14">
        <v>66.79</v>
      </c>
      <c r="H253" s="15">
        <f t="shared" si="62"/>
        <v>16697.5</v>
      </c>
      <c r="I253" s="16">
        <f t="shared" si="63"/>
        <v>2181.5</v>
      </c>
      <c r="J253" s="19">
        <f t="shared" si="66"/>
        <v>0.15028244695508405</v>
      </c>
      <c r="K253" s="95" t="s">
        <v>81</v>
      </c>
      <c r="L253" s="97">
        <v>60.06</v>
      </c>
      <c r="M253" s="41">
        <f t="shared" si="65"/>
        <v>53.958600000000004</v>
      </c>
      <c r="N253" s="118">
        <v>76.6</v>
      </c>
      <c r="O253" s="121">
        <v>42090</v>
      </c>
      <c r="P253" s="116" t="s">
        <v>80</v>
      </c>
      <c r="Q253" s="117">
        <v>70.25</v>
      </c>
      <c r="R253" s="118">
        <f>Q253*0.855</f>
        <v>60.06375</v>
      </c>
      <c r="S253" s="117">
        <f>1.11*C253</f>
        <v>64.40220000000001</v>
      </c>
      <c r="T253" s="116"/>
      <c r="V253" s="131"/>
    </row>
    <row r="254" spans="1:22" s="114" customFormat="1" ht="15">
      <c r="A254" s="12" t="s">
        <v>80</v>
      </c>
      <c r="B254" s="65">
        <v>42011.40694444445</v>
      </c>
      <c r="C254" s="14">
        <v>59.16</v>
      </c>
      <c r="D254" s="15">
        <v>150</v>
      </c>
      <c r="E254" s="15">
        <f t="shared" si="61"/>
        <v>8885</v>
      </c>
      <c r="F254" s="13"/>
      <c r="G254" s="14">
        <v>66.79</v>
      </c>
      <c r="H254" s="15">
        <f t="shared" si="62"/>
        <v>10018.500000000002</v>
      </c>
      <c r="I254" s="16">
        <f t="shared" si="63"/>
        <v>1133.5000000000018</v>
      </c>
      <c r="J254" s="122">
        <f t="shared" si="66"/>
        <v>0.12757456387169408</v>
      </c>
      <c r="K254" s="95" t="s">
        <v>82</v>
      </c>
      <c r="L254" s="97">
        <v>60.06</v>
      </c>
      <c r="M254" s="41">
        <f t="shared" si="65"/>
        <v>55.0188</v>
      </c>
      <c r="N254" s="118">
        <v>77.93</v>
      </c>
      <c r="O254" s="116"/>
      <c r="P254" s="116" t="s">
        <v>80</v>
      </c>
      <c r="Q254" s="117"/>
      <c r="R254" s="118"/>
      <c r="S254" s="117"/>
      <c r="T254" s="116"/>
      <c r="V254" s="131"/>
    </row>
    <row r="255" spans="1:22" s="114" customFormat="1" ht="15">
      <c r="A255" s="12" t="s">
        <v>80</v>
      </c>
      <c r="B255" s="65">
        <v>42012.29305555556</v>
      </c>
      <c r="C255" s="14">
        <v>60.3</v>
      </c>
      <c r="D255" s="15">
        <v>100</v>
      </c>
      <c r="E255" s="15">
        <f t="shared" si="61"/>
        <v>6041</v>
      </c>
      <c r="F255" s="13"/>
      <c r="G255" s="14">
        <v>66.79</v>
      </c>
      <c r="H255" s="15">
        <f t="shared" si="62"/>
        <v>6679.000000000001</v>
      </c>
      <c r="I255" s="16">
        <f t="shared" si="63"/>
        <v>638.0000000000009</v>
      </c>
      <c r="J255" s="19">
        <f t="shared" si="66"/>
        <v>0.10561165369971874</v>
      </c>
      <c r="K255" s="95" t="s">
        <v>83</v>
      </c>
      <c r="L255" s="97">
        <v>60.06</v>
      </c>
      <c r="M255" s="41">
        <f t="shared" si="65"/>
        <v>56.079</v>
      </c>
      <c r="N255" s="118">
        <v>77.93</v>
      </c>
      <c r="O255" s="116"/>
      <c r="P255" s="116" t="s">
        <v>80</v>
      </c>
      <c r="Q255" s="117"/>
      <c r="R255" s="118"/>
      <c r="S255" s="117"/>
      <c r="T255" s="116"/>
      <c r="V255" s="131"/>
    </row>
    <row r="256" spans="1:22" s="114" customFormat="1" ht="15">
      <c r="A256" s="12" t="s">
        <v>80</v>
      </c>
      <c r="B256" s="65">
        <v>42047.271527777775</v>
      </c>
      <c r="C256" s="14">
        <v>64.65</v>
      </c>
      <c r="D256" s="15">
        <v>100</v>
      </c>
      <c r="E256" s="15">
        <f t="shared" si="61"/>
        <v>6476.000000000001</v>
      </c>
      <c r="F256" s="13"/>
      <c r="G256" s="14">
        <v>66.79</v>
      </c>
      <c r="H256" s="15">
        <f t="shared" si="62"/>
        <v>6679.000000000001</v>
      </c>
      <c r="I256" s="16">
        <f t="shared" si="63"/>
        <v>203</v>
      </c>
      <c r="J256" s="19">
        <f t="shared" si="66"/>
        <v>0.03134651019147622</v>
      </c>
      <c r="K256" s="95" t="s">
        <v>132</v>
      </c>
      <c r="L256" s="97">
        <v>60.06</v>
      </c>
      <c r="M256" s="41">
        <f t="shared" si="65"/>
        <v>60.12450000000001</v>
      </c>
      <c r="N256" s="118">
        <v>77.93</v>
      </c>
      <c r="O256" s="116"/>
      <c r="P256" s="116" t="s">
        <v>80</v>
      </c>
      <c r="Q256" s="117"/>
      <c r="R256" s="118"/>
      <c r="S256" s="117"/>
      <c r="T256" s="116"/>
      <c r="V256" s="131"/>
    </row>
    <row r="257" spans="1:22" s="114" customFormat="1" ht="15">
      <c r="A257" s="12" t="s">
        <v>60</v>
      </c>
      <c r="B257" s="65">
        <v>42012.27569444444</v>
      </c>
      <c r="C257" s="14">
        <v>75.9</v>
      </c>
      <c r="D257" s="15">
        <v>190</v>
      </c>
      <c r="E257" s="15">
        <f t="shared" si="61"/>
        <v>14432.000000000002</v>
      </c>
      <c r="F257" s="13"/>
      <c r="G257" s="14">
        <v>98.48</v>
      </c>
      <c r="H257" s="15">
        <f t="shared" si="62"/>
        <v>18711.2</v>
      </c>
      <c r="I257" s="16">
        <f t="shared" si="63"/>
        <v>4279.199999999999</v>
      </c>
      <c r="J257" s="19">
        <f t="shared" si="66"/>
        <v>0.29650776053215067</v>
      </c>
      <c r="K257" s="95" t="s">
        <v>86</v>
      </c>
      <c r="L257" s="119">
        <v>86.24</v>
      </c>
      <c r="M257" s="41">
        <f t="shared" si="65"/>
        <v>70.587</v>
      </c>
      <c r="N257" s="118">
        <v>97.93</v>
      </c>
      <c r="O257" s="121">
        <f>WORKDAY(B259,40,'Weekly Summary'!P$2:P$10)</f>
        <v>42073</v>
      </c>
      <c r="P257" s="116" t="s">
        <v>60</v>
      </c>
      <c r="Q257" s="117">
        <v>100.86</v>
      </c>
      <c r="R257" s="118">
        <f>Q257*0.855</f>
        <v>86.2353</v>
      </c>
      <c r="S257" s="117">
        <f>1.11*C257</f>
        <v>84.24900000000001</v>
      </c>
      <c r="T257" s="116"/>
      <c r="V257" s="131"/>
    </row>
    <row r="258" spans="1:22" s="114" customFormat="1" ht="15">
      <c r="A258" s="12" t="s">
        <v>60</v>
      </c>
      <c r="B258" s="65">
        <v>42012.520833333336</v>
      </c>
      <c r="C258" s="14">
        <v>78</v>
      </c>
      <c r="D258" s="15">
        <v>110</v>
      </c>
      <c r="E258" s="15">
        <f t="shared" si="61"/>
        <v>8591</v>
      </c>
      <c r="F258" s="13"/>
      <c r="G258" s="14">
        <v>98.48</v>
      </c>
      <c r="H258" s="15">
        <f t="shared" si="62"/>
        <v>10832.800000000001</v>
      </c>
      <c r="I258" s="16">
        <f t="shared" si="63"/>
        <v>2241.800000000001</v>
      </c>
      <c r="J258" s="19">
        <f t="shared" si="66"/>
        <v>0.26094750320102444</v>
      </c>
      <c r="K258" s="95" t="s">
        <v>87</v>
      </c>
      <c r="L258" s="119">
        <v>86.24</v>
      </c>
      <c r="M258" s="41">
        <f t="shared" si="65"/>
        <v>72.54</v>
      </c>
      <c r="N258" s="118">
        <v>97.93</v>
      </c>
      <c r="P258" s="116" t="s">
        <v>60</v>
      </c>
      <c r="Q258" s="117"/>
      <c r="R258" s="118"/>
      <c r="S258" s="117"/>
      <c r="T258" s="116"/>
      <c r="V258" s="131"/>
    </row>
    <row r="259" spans="1:20" s="114" customFormat="1" ht="15">
      <c r="A259" s="12" t="s">
        <v>60</v>
      </c>
      <c r="B259" s="65">
        <v>42013.274305555555</v>
      </c>
      <c r="C259" s="14">
        <v>79.2</v>
      </c>
      <c r="D259" s="15">
        <v>70</v>
      </c>
      <c r="E259" s="15">
        <f t="shared" si="61"/>
        <v>5555</v>
      </c>
      <c r="F259" s="13"/>
      <c r="G259" s="14">
        <v>98.48</v>
      </c>
      <c r="H259" s="15">
        <f t="shared" si="62"/>
        <v>6893.6</v>
      </c>
      <c r="I259" s="16">
        <f t="shared" si="63"/>
        <v>1338.6000000000004</v>
      </c>
      <c r="J259" s="19">
        <f t="shared" si="66"/>
        <v>0.24097209720972104</v>
      </c>
      <c r="K259" s="95" t="s">
        <v>88</v>
      </c>
      <c r="L259" s="119">
        <v>86.24</v>
      </c>
      <c r="M259" s="41">
        <f t="shared" si="65"/>
        <v>73.656</v>
      </c>
      <c r="N259" s="118">
        <v>97.93</v>
      </c>
      <c r="O259" s="116"/>
      <c r="P259" s="116" t="s">
        <v>60</v>
      </c>
      <c r="Q259" s="117"/>
      <c r="R259" s="118"/>
      <c r="S259" s="117"/>
      <c r="T259" s="116"/>
    </row>
    <row r="260" spans="1:20" s="114" customFormat="1" ht="15">
      <c r="A260" s="85" t="s">
        <v>60</v>
      </c>
      <c r="B260" s="65">
        <v>42065.23611111111</v>
      </c>
      <c r="C260" s="14">
        <v>95.05</v>
      </c>
      <c r="D260" s="15">
        <v>70</v>
      </c>
      <c r="E260" s="15">
        <f t="shared" si="61"/>
        <v>6664.5</v>
      </c>
      <c r="F260" s="65"/>
      <c r="G260" s="14">
        <v>98.48</v>
      </c>
      <c r="H260" s="15">
        <f t="shared" si="62"/>
        <v>6893.6</v>
      </c>
      <c r="I260" s="16">
        <f t="shared" si="63"/>
        <v>229.10000000000036</v>
      </c>
      <c r="J260" s="19">
        <f t="shared" si="66"/>
        <v>0.03437617225598325</v>
      </c>
      <c r="K260" s="95" t="s">
        <v>132</v>
      </c>
      <c r="L260" s="119"/>
      <c r="M260" s="20">
        <f t="shared" si="65"/>
        <v>88.3965</v>
      </c>
      <c r="N260" s="118">
        <v>97.93</v>
      </c>
      <c r="O260" s="116"/>
      <c r="P260" s="116" t="s">
        <v>60</v>
      </c>
      <c r="Q260" s="117"/>
      <c r="R260" s="118"/>
      <c r="S260" s="117"/>
      <c r="T260" s="116"/>
    </row>
    <row r="261" spans="1:20" s="114" customFormat="1" ht="15">
      <c r="A261" s="12" t="s">
        <v>73</v>
      </c>
      <c r="B261" s="65">
        <v>42017.27847222222</v>
      </c>
      <c r="C261" s="14">
        <v>21.2</v>
      </c>
      <c r="D261" s="15">
        <v>680</v>
      </c>
      <c r="E261" s="15">
        <f t="shared" si="61"/>
        <v>14427</v>
      </c>
      <c r="F261" s="13"/>
      <c r="G261" s="14">
        <v>25</v>
      </c>
      <c r="H261" s="15">
        <f t="shared" si="62"/>
        <v>17000</v>
      </c>
      <c r="I261" s="16">
        <f t="shared" si="63"/>
        <v>2573</v>
      </c>
      <c r="J261" s="19">
        <f t="shared" si="66"/>
        <v>0.17834615651209537</v>
      </c>
      <c r="K261" s="95" t="s">
        <v>111</v>
      </c>
      <c r="L261" s="119">
        <v>22.63</v>
      </c>
      <c r="M261" s="41">
        <f t="shared" si="65"/>
        <v>19.716</v>
      </c>
      <c r="N261" s="118">
        <v>26.43</v>
      </c>
      <c r="O261" s="121">
        <f>WORKDAY(B261,40,'Weekly Summary'!P$2:P$10)</f>
        <v>42075</v>
      </c>
      <c r="P261" s="116" t="s">
        <v>73</v>
      </c>
      <c r="Q261" s="117">
        <v>26.47</v>
      </c>
      <c r="R261" s="118">
        <f>Q261*0.855</f>
        <v>22.63185</v>
      </c>
      <c r="S261" s="117">
        <f>1.11*C261</f>
        <v>23.532</v>
      </c>
      <c r="T261" s="116"/>
    </row>
    <row r="262" spans="1:20" s="114" customFormat="1" ht="15">
      <c r="A262" s="12" t="s">
        <v>73</v>
      </c>
      <c r="B262" s="65">
        <v>42020.5375</v>
      </c>
      <c r="C262" s="14">
        <v>21.73</v>
      </c>
      <c r="D262" s="15">
        <v>400</v>
      </c>
      <c r="E262" s="15">
        <f t="shared" si="61"/>
        <v>8703</v>
      </c>
      <c r="F262" s="13"/>
      <c r="G262" s="14">
        <v>25</v>
      </c>
      <c r="H262" s="15">
        <f t="shared" si="62"/>
        <v>10000</v>
      </c>
      <c r="I262" s="16">
        <f t="shared" si="63"/>
        <v>1297</v>
      </c>
      <c r="J262" s="19">
        <f t="shared" si="66"/>
        <v>0.14902907043548203</v>
      </c>
      <c r="K262" s="95" t="s">
        <v>119</v>
      </c>
      <c r="L262" s="119">
        <v>22.63</v>
      </c>
      <c r="M262" s="41">
        <f t="shared" si="65"/>
        <v>20.2089</v>
      </c>
      <c r="N262" s="118">
        <v>26.43</v>
      </c>
      <c r="O262" s="116"/>
      <c r="P262" s="116" t="s">
        <v>73</v>
      </c>
      <c r="Q262" s="117"/>
      <c r="R262" s="118"/>
      <c r="S262" s="117"/>
      <c r="T262" s="116"/>
    </row>
    <row r="263" spans="1:20" s="114" customFormat="1" ht="15">
      <c r="A263" s="12" t="s">
        <v>73</v>
      </c>
      <c r="B263" s="65">
        <v>42024.39791666667</v>
      </c>
      <c r="C263" s="14">
        <v>22.2</v>
      </c>
      <c r="D263" s="15">
        <v>260</v>
      </c>
      <c r="E263" s="15">
        <f t="shared" si="61"/>
        <v>5783</v>
      </c>
      <c r="F263" s="13"/>
      <c r="G263" s="14">
        <v>25</v>
      </c>
      <c r="H263" s="15">
        <f t="shared" si="62"/>
        <v>6500</v>
      </c>
      <c r="I263" s="16">
        <f t="shared" si="63"/>
        <v>717</v>
      </c>
      <c r="J263" s="19">
        <f t="shared" si="66"/>
        <v>0.12398409130209234</v>
      </c>
      <c r="K263" s="95" t="s">
        <v>118</v>
      </c>
      <c r="L263" s="119">
        <v>22.63</v>
      </c>
      <c r="M263" s="41">
        <f t="shared" si="65"/>
        <v>20.646</v>
      </c>
      <c r="N263" s="118">
        <v>26.43</v>
      </c>
      <c r="O263" s="116"/>
      <c r="P263" s="116" t="s">
        <v>73</v>
      </c>
      <c r="Q263" s="117"/>
      <c r="R263" s="118"/>
      <c r="S263" s="117"/>
      <c r="T263" s="116"/>
    </row>
    <row r="264" spans="1:20" s="114" customFormat="1" ht="15">
      <c r="A264" s="12" t="s">
        <v>73</v>
      </c>
      <c r="B264" s="65">
        <v>42364.27222222222</v>
      </c>
      <c r="C264" s="14">
        <v>23.5</v>
      </c>
      <c r="D264" s="15">
        <v>260</v>
      </c>
      <c r="E264" s="15">
        <f t="shared" si="61"/>
        <v>6121</v>
      </c>
      <c r="F264" s="13"/>
      <c r="G264" s="14">
        <v>25</v>
      </c>
      <c r="H264" s="15">
        <f t="shared" si="62"/>
        <v>6500</v>
      </c>
      <c r="I264" s="16">
        <f t="shared" si="63"/>
        <v>379</v>
      </c>
      <c r="J264" s="19">
        <f t="shared" si="66"/>
        <v>0.06191798725698415</v>
      </c>
      <c r="K264" s="95" t="s">
        <v>147</v>
      </c>
      <c r="L264" s="119">
        <v>22.63</v>
      </c>
      <c r="M264" s="41">
        <f t="shared" si="65"/>
        <v>21.855</v>
      </c>
      <c r="N264" s="118">
        <v>26.43</v>
      </c>
      <c r="O264" s="116"/>
      <c r="P264" s="116" t="s">
        <v>73</v>
      </c>
      <c r="Q264" s="117"/>
      <c r="R264" s="118"/>
      <c r="S264" s="117"/>
      <c r="T264" s="116"/>
    </row>
    <row r="265" spans="1:20" s="114" customFormat="1" ht="15">
      <c r="A265" s="12" t="s">
        <v>58</v>
      </c>
      <c r="B265" s="65">
        <v>42020.27291666667</v>
      </c>
      <c r="C265" s="14">
        <v>40.8</v>
      </c>
      <c r="D265" s="15">
        <v>350</v>
      </c>
      <c r="E265" s="15">
        <f t="shared" si="61"/>
        <v>14290.999999999998</v>
      </c>
      <c r="F265" s="13"/>
      <c r="G265" s="14">
        <v>49.83</v>
      </c>
      <c r="H265" s="15">
        <f t="shared" si="62"/>
        <v>17440.5</v>
      </c>
      <c r="I265" s="16">
        <f t="shared" si="63"/>
        <v>3149.500000000002</v>
      </c>
      <c r="J265" s="19">
        <f t="shared" si="66"/>
        <v>0.22038345812049556</v>
      </c>
      <c r="K265" s="95" t="s">
        <v>120</v>
      </c>
      <c r="L265" s="119">
        <v>45.29</v>
      </c>
      <c r="M265" s="41">
        <f t="shared" si="65"/>
        <v>37.944</v>
      </c>
      <c r="N265" s="118">
        <v>56.56</v>
      </c>
      <c r="O265" s="121">
        <f>WORKDAY(B269,40,'Weekly Summary'!P$2:P$10)</f>
        <v>42100</v>
      </c>
      <c r="P265" s="116" t="s">
        <v>58</v>
      </c>
      <c r="Q265" s="117">
        <v>55.86</v>
      </c>
      <c r="R265" s="118">
        <f>Q265*0.855</f>
        <v>47.7603</v>
      </c>
      <c r="S265" s="117">
        <f>1.11*C265</f>
        <v>45.288000000000004</v>
      </c>
      <c r="T265" s="116"/>
    </row>
    <row r="266" spans="1:20" s="114" customFormat="1" ht="15">
      <c r="A266" s="12" t="s">
        <v>58</v>
      </c>
      <c r="B266" s="65">
        <v>42024.35486111111</v>
      </c>
      <c r="C266" s="14">
        <v>42.9</v>
      </c>
      <c r="D266" s="15">
        <v>200</v>
      </c>
      <c r="E266" s="15">
        <f t="shared" si="61"/>
        <v>8591</v>
      </c>
      <c r="F266" s="13"/>
      <c r="G266" s="14">
        <v>49.83</v>
      </c>
      <c r="H266" s="15">
        <f t="shared" si="62"/>
        <v>9966</v>
      </c>
      <c r="I266" s="16">
        <f t="shared" si="63"/>
        <v>1375</v>
      </c>
      <c r="J266" s="19">
        <f t="shared" si="66"/>
        <v>0.16005121638924455</v>
      </c>
      <c r="K266" s="95" t="s">
        <v>121</v>
      </c>
      <c r="L266" s="119">
        <v>45.29</v>
      </c>
      <c r="M266" s="41">
        <f t="shared" si="65"/>
        <v>39.897</v>
      </c>
      <c r="N266" s="118">
        <v>56.56</v>
      </c>
      <c r="O266" s="116"/>
      <c r="P266" s="116" t="s">
        <v>58</v>
      </c>
      <c r="Q266" s="117"/>
      <c r="R266" s="118"/>
      <c r="S266" s="117"/>
      <c r="T266" s="116"/>
    </row>
    <row r="267" spans="1:20" s="114" customFormat="1" ht="15">
      <c r="A267" s="12" t="s">
        <v>58</v>
      </c>
      <c r="B267" s="65">
        <v>42039.3375</v>
      </c>
      <c r="C267" s="14">
        <v>43.9</v>
      </c>
      <c r="D267" s="15">
        <v>130</v>
      </c>
      <c r="E267" s="15">
        <f t="shared" si="61"/>
        <v>5718</v>
      </c>
      <c r="F267" s="13"/>
      <c r="G267" s="14">
        <v>49.83</v>
      </c>
      <c r="H267" s="15">
        <f t="shared" si="62"/>
        <v>6477.9</v>
      </c>
      <c r="I267" s="16">
        <f t="shared" si="63"/>
        <v>759.8999999999996</v>
      </c>
      <c r="J267" s="19">
        <f t="shared" si="66"/>
        <v>0.13289611752360958</v>
      </c>
      <c r="K267" s="95" t="s">
        <v>130</v>
      </c>
      <c r="L267" s="119">
        <v>45.29</v>
      </c>
      <c r="M267" s="41">
        <f t="shared" si="65"/>
        <v>40.827</v>
      </c>
      <c r="N267" s="118">
        <v>56.56</v>
      </c>
      <c r="O267" s="116"/>
      <c r="P267" s="116" t="s">
        <v>58</v>
      </c>
      <c r="Q267" s="117"/>
      <c r="R267" s="118"/>
      <c r="S267" s="117"/>
      <c r="T267" s="116"/>
    </row>
    <row r="268" spans="1:20" s="114" customFormat="1" ht="15">
      <c r="A268" s="12" t="s">
        <v>58</v>
      </c>
      <c r="B268" s="65">
        <v>42061.271527777775</v>
      </c>
      <c r="C268" s="14">
        <v>49.85</v>
      </c>
      <c r="D268" s="15">
        <v>130</v>
      </c>
      <c r="E268" s="15">
        <f t="shared" si="61"/>
        <v>6491.5</v>
      </c>
      <c r="F268" s="13"/>
      <c r="G268" s="14">
        <v>49.83</v>
      </c>
      <c r="H268" s="15">
        <f t="shared" si="62"/>
        <v>6477.9</v>
      </c>
      <c r="I268" s="16">
        <f t="shared" si="63"/>
        <v>-13.600000000000364</v>
      </c>
      <c r="J268" s="19">
        <f t="shared" si="66"/>
        <v>-0.002095047369637274</v>
      </c>
      <c r="K268" s="95" t="s">
        <v>132</v>
      </c>
      <c r="L268" s="119"/>
      <c r="M268" s="20">
        <f t="shared" si="65"/>
        <v>46.3605</v>
      </c>
      <c r="N268" s="118">
        <v>56.56</v>
      </c>
      <c r="O268" s="116"/>
      <c r="P268" s="116" t="s">
        <v>58</v>
      </c>
      <c r="Q268" s="117"/>
      <c r="R268" s="118"/>
      <c r="S268" s="117"/>
      <c r="T268" s="116"/>
    </row>
    <row r="269" spans="1:20" s="114" customFormat="1" ht="15">
      <c r="A269" s="12" t="s">
        <v>61</v>
      </c>
      <c r="B269" s="65">
        <v>42040.27847222222</v>
      </c>
      <c r="C269" s="14">
        <v>132.85</v>
      </c>
      <c r="D269" s="15">
        <v>110</v>
      </c>
      <c r="E269" s="15">
        <f t="shared" si="61"/>
        <v>14624.5</v>
      </c>
      <c r="F269" s="13"/>
      <c r="G269" s="14">
        <v>138.59</v>
      </c>
      <c r="H269" s="15">
        <f t="shared" si="62"/>
        <v>15244.9</v>
      </c>
      <c r="I269" s="16">
        <f t="shared" si="63"/>
        <v>620.3999999999996</v>
      </c>
      <c r="J269" s="19">
        <f t="shared" si="66"/>
        <v>0.042421963144039086</v>
      </c>
      <c r="K269" s="95" t="s">
        <v>134</v>
      </c>
      <c r="L269" s="119"/>
      <c r="M269" s="20">
        <f t="shared" si="65"/>
        <v>123.5505</v>
      </c>
      <c r="N269" s="118">
        <v>168.13</v>
      </c>
      <c r="O269" s="121">
        <v>42086</v>
      </c>
      <c r="P269" s="116" t="s">
        <v>61</v>
      </c>
      <c r="Q269" s="117">
        <v>143.34</v>
      </c>
      <c r="R269" s="118">
        <f>Q269*0.855</f>
        <v>122.5557</v>
      </c>
      <c r="S269" s="117">
        <f>1.11*C269</f>
        <v>147.4635</v>
      </c>
      <c r="T269" s="116"/>
    </row>
    <row r="270" spans="1:20" s="114" customFormat="1" ht="15">
      <c r="A270" s="12" t="s">
        <v>61</v>
      </c>
      <c r="B270" s="65">
        <v>42045.27291666667</v>
      </c>
      <c r="C270" s="14">
        <v>135.9</v>
      </c>
      <c r="D270" s="15">
        <v>65</v>
      </c>
      <c r="E270" s="15">
        <f t="shared" si="61"/>
        <v>8844.5</v>
      </c>
      <c r="F270" s="13"/>
      <c r="G270" s="14">
        <v>138.59</v>
      </c>
      <c r="H270" s="15">
        <f t="shared" si="62"/>
        <v>9008.35</v>
      </c>
      <c r="I270" s="16">
        <f t="shared" si="63"/>
        <v>163.85000000000036</v>
      </c>
      <c r="J270" s="19">
        <f t="shared" si="66"/>
        <v>0.018525637401775156</v>
      </c>
      <c r="K270" s="95" t="s">
        <v>141</v>
      </c>
      <c r="L270" s="119"/>
      <c r="M270" s="20">
        <f t="shared" si="65"/>
        <v>126.38700000000001</v>
      </c>
      <c r="N270" s="118">
        <v>168.13</v>
      </c>
      <c r="O270" s="116"/>
      <c r="P270" s="116" t="s">
        <v>61</v>
      </c>
      <c r="Q270" s="117"/>
      <c r="R270" s="118"/>
      <c r="S270" s="117"/>
      <c r="T270" s="116"/>
    </row>
    <row r="271" spans="1:20" s="114" customFormat="1" ht="15">
      <c r="A271" s="12" t="s">
        <v>61</v>
      </c>
      <c r="B271" s="65">
        <v>42054.277083333334</v>
      </c>
      <c r="C271" s="14">
        <v>139.17</v>
      </c>
      <c r="D271" s="15">
        <v>40</v>
      </c>
      <c r="E271" s="15">
        <f t="shared" si="61"/>
        <v>5577.799999999999</v>
      </c>
      <c r="F271" s="13"/>
      <c r="G271" s="14">
        <v>138.59</v>
      </c>
      <c r="H271" s="15">
        <f t="shared" si="62"/>
        <v>5543.6</v>
      </c>
      <c r="I271" s="16">
        <f t="shared" si="63"/>
        <v>-34.19999999999891</v>
      </c>
      <c r="J271" s="19">
        <f t="shared" si="66"/>
        <v>-0.006131449675499106</v>
      </c>
      <c r="K271" s="95" t="s">
        <v>140</v>
      </c>
      <c r="L271" s="119"/>
      <c r="M271" s="20">
        <f t="shared" si="65"/>
        <v>129.4281</v>
      </c>
      <c r="N271" s="118">
        <v>168.13</v>
      </c>
      <c r="O271" s="116"/>
      <c r="P271" s="116" t="s">
        <v>61</v>
      </c>
      <c r="Q271" s="117"/>
      <c r="R271" s="118"/>
      <c r="S271" s="117"/>
      <c r="T271" s="116"/>
    </row>
    <row r="272" spans="1:20" s="114" customFormat="1" ht="15">
      <c r="A272" s="12" t="s">
        <v>52</v>
      </c>
      <c r="B272" s="65">
        <v>42046.27361111111</v>
      </c>
      <c r="C272" s="14">
        <v>129.75</v>
      </c>
      <c r="D272" s="15">
        <v>80</v>
      </c>
      <c r="E272" s="15">
        <f t="shared" si="61"/>
        <v>10391</v>
      </c>
      <c r="F272" s="13"/>
      <c r="G272" s="14">
        <v>140.73</v>
      </c>
      <c r="H272" s="15">
        <f t="shared" si="62"/>
        <v>11258.4</v>
      </c>
      <c r="I272" s="16">
        <f t="shared" si="63"/>
        <v>867.3999999999996</v>
      </c>
      <c r="J272" s="19">
        <f t="shared" si="66"/>
        <v>0.08347608507362136</v>
      </c>
      <c r="K272" s="95" t="s">
        <v>135</v>
      </c>
      <c r="L272" s="119">
        <v>127.69</v>
      </c>
      <c r="M272" s="41">
        <f t="shared" si="65"/>
        <v>120.6675</v>
      </c>
      <c r="N272" s="118">
        <v>161.78</v>
      </c>
      <c r="O272" s="121">
        <f>WORKDAY(B272,40,'Weekly Summary'!P$2:P$10)</f>
        <v>42104</v>
      </c>
      <c r="P272" s="116" t="s">
        <v>52</v>
      </c>
      <c r="Q272" s="117">
        <v>149.35</v>
      </c>
      <c r="R272" s="118">
        <f>Q272*0.855</f>
        <v>127.69425</v>
      </c>
      <c r="S272" s="117">
        <f>1.11*C272</f>
        <v>144.0225</v>
      </c>
      <c r="T272" s="116"/>
    </row>
    <row r="273" spans="1:20" s="114" customFormat="1" ht="15">
      <c r="A273" s="12" t="s">
        <v>52</v>
      </c>
      <c r="B273" s="65">
        <v>42047.275</v>
      </c>
      <c r="C273" s="14">
        <v>133.95</v>
      </c>
      <c r="D273" s="15">
        <v>45</v>
      </c>
      <c r="E273" s="15">
        <f t="shared" si="61"/>
        <v>6038.749999999999</v>
      </c>
      <c r="F273" s="13"/>
      <c r="G273" s="14">
        <v>140.73</v>
      </c>
      <c r="H273" s="15">
        <f t="shared" si="62"/>
        <v>6332.849999999999</v>
      </c>
      <c r="I273" s="16">
        <f t="shared" si="63"/>
        <v>294.10000000000036</v>
      </c>
      <c r="J273" s="19">
        <f t="shared" si="66"/>
        <v>0.04870213206375498</v>
      </c>
      <c r="K273" s="95" t="s">
        <v>136</v>
      </c>
      <c r="L273" s="119">
        <v>127.69</v>
      </c>
      <c r="M273" s="41">
        <f t="shared" si="65"/>
        <v>124.5735</v>
      </c>
      <c r="N273" s="118">
        <v>161.78</v>
      </c>
      <c r="O273" s="116"/>
      <c r="P273" s="116" t="s">
        <v>52</v>
      </c>
      <c r="Q273" s="117"/>
      <c r="R273" s="118"/>
      <c r="S273" s="117"/>
      <c r="T273" s="116"/>
    </row>
    <row r="274" spans="1:20" s="114" customFormat="1" ht="15">
      <c r="A274" s="12" t="s">
        <v>52</v>
      </c>
      <c r="B274" s="65">
        <v>42048.450694444444</v>
      </c>
      <c r="C274" s="14">
        <v>135.8</v>
      </c>
      <c r="D274" s="15">
        <v>30</v>
      </c>
      <c r="E274" s="15">
        <f t="shared" si="61"/>
        <v>4085.0000000000005</v>
      </c>
      <c r="F274" s="13"/>
      <c r="G274" s="14">
        <v>140.73</v>
      </c>
      <c r="H274" s="15">
        <f t="shared" si="62"/>
        <v>4221.9</v>
      </c>
      <c r="I274" s="16">
        <f t="shared" si="63"/>
        <v>136.89999999999918</v>
      </c>
      <c r="J274" s="19">
        <f t="shared" si="66"/>
        <v>0.03351285189718462</v>
      </c>
      <c r="K274" s="95" t="s">
        <v>143</v>
      </c>
      <c r="L274" s="119">
        <v>127.69</v>
      </c>
      <c r="M274" s="41">
        <f t="shared" si="65"/>
        <v>126.29400000000001</v>
      </c>
      <c r="N274" s="118">
        <v>161.78</v>
      </c>
      <c r="O274" s="116"/>
      <c r="P274" s="116" t="s">
        <v>52</v>
      </c>
      <c r="Q274" s="117"/>
      <c r="R274" s="118"/>
      <c r="S274" s="117"/>
      <c r="T274" s="116"/>
    </row>
    <row r="275" spans="1:20" s="114" customFormat="1" ht="15">
      <c r="A275" s="12" t="s">
        <v>39</v>
      </c>
      <c r="B275" s="65">
        <v>42062.53680555556</v>
      </c>
      <c r="C275" s="14">
        <v>57.65</v>
      </c>
      <c r="D275" s="15">
        <v>100</v>
      </c>
      <c r="E275" s="15">
        <f t="shared" si="61"/>
        <v>5776</v>
      </c>
      <c r="F275" s="13"/>
      <c r="G275" s="14">
        <v>64.22</v>
      </c>
      <c r="H275" s="15">
        <f t="shared" si="62"/>
        <v>6422</v>
      </c>
      <c r="I275" s="16">
        <f t="shared" si="63"/>
        <v>646</v>
      </c>
      <c r="J275" s="19">
        <f t="shared" si="66"/>
        <v>0.1118421052631579</v>
      </c>
      <c r="K275" s="95" t="s">
        <v>149</v>
      </c>
      <c r="L275" s="119"/>
      <c r="M275" s="20">
        <f t="shared" si="65"/>
        <v>53.6145</v>
      </c>
      <c r="N275" s="118">
        <v>79</v>
      </c>
      <c r="O275" s="121">
        <v>42124</v>
      </c>
      <c r="P275" s="116" t="s">
        <v>39</v>
      </c>
      <c r="Q275" s="117"/>
      <c r="R275" s="118"/>
      <c r="S275" s="117"/>
      <c r="T275" s="116"/>
    </row>
    <row r="276" spans="1:20" s="114" customFormat="1" ht="15">
      <c r="A276" s="12"/>
      <c r="B276" s="13"/>
      <c r="C276" s="14"/>
      <c r="D276" s="15"/>
      <c r="E276" s="15"/>
      <c r="F276" s="13"/>
      <c r="G276" s="14"/>
      <c r="H276" s="15"/>
      <c r="I276" s="16"/>
      <c r="J276" s="19"/>
      <c r="K276" s="95"/>
      <c r="L276" s="119"/>
      <c r="M276" s="32"/>
      <c r="N276" s="118"/>
      <c r="Q276" s="117"/>
      <c r="R276" s="117"/>
      <c r="S276" s="117"/>
      <c r="T276" s="116"/>
    </row>
    <row r="277" spans="1:20" s="114" customFormat="1" ht="15">
      <c r="A277" s="21" t="s">
        <v>14</v>
      </c>
      <c r="B277" s="22"/>
      <c r="C277" s="23"/>
      <c r="D277" s="24"/>
      <c r="E277" s="24">
        <f>SUM(E244:E276)</f>
        <v>276206.85</v>
      </c>
      <c r="F277" s="22"/>
      <c r="G277" s="23"/>
      <c r="H277" s="24">
        <f>SUM(H244:H276)</f>
        <v>316103.6</v>
      </c>
      <c r="I277" s="25">
        <f>SUM(I244:I276)</f>
        <v>39896.75000000001</v>
      </c>
      <c r="J277" s="26">
        <f>I277/E277</f>
        <v>0.14444518664182301</v>
      </c>
      <c r="K277" s="27" t="s">
        <v>15</v>
      </c>
      <c r="L277" s="28">
        <f>100000+I279</f>
        <v>137196.61000000002</v>
      </c>
      <c r="M277" s="81"/>
      <c r="N277" s="89"/>
      <c r="Q277" s="117"/>
      <c r="R277" s="117"/>
      <c r="S277" s="117"/>
      <c r="T277" s="116"/>
    </row>
    <row r="278" spans="1:20" s="114" customFormat="1" ht="15">
      <c r="A278" s="12" t="s">
        <v>67</v>
      </c>
      <c r="B278" s="22"/>
      <c r="C278" s="25">
        <f>I279-I239</f>
        <v>1736.5999999999985</v>
      </c>
      <c r="D278" s="26">
        <f>C278/H237</f>
        <v>0.005643763050348953</v>
      </c>
      <c r="E278" s="24"/>
      <c r="F278" s="22" t="s">
        <v>16</v>
      </c>
      <c r="G278" s="117"/>
      <c r="H278" s="29" t="str">
        <f>IF(ABS(H277-E277-I277)&lt;1,"","ERROR")</f>
        <v/>
      </c>
      <c r="I278" s="30">
        <v>-2700.1399999999994</v>
      </c>
      <c r="J278" s="26"/>
      <c r="K278" s="111" t="s">
        <v>17</v>
      </c>
      <c r="L278" s="28">
        <f>(2*(100000+I279))-E277</f>
        <v>-1813.6299999999464</v>
      </c>
      <c r="M278" s="31"/>
      <c r="Q278" s="117"/>
      <c r="R278" s="117"/>
      <c r="S278" s="117"/>
      <c r="T278" s="116"/>
    </row>
    <row r="279" spans="1:20" s="114" customFormat="1" ht="15">
      <c r="A279" s="12" t="s">
        <v>54</v>
      </c>
      <c r="B279" s="22"/>
      <c r="C279" s="25">
        <f>L277-L237</f>
        <v>1736.6000000000058</v>
      </c>
      <c r="D279" s="26">
        <f>C279/L237</f>
        <v>0.012820019723902322</v>
      </c>
      <c r="E279" s="24"/>
      <c r="F279" s="22" t="s">
        <v>18</v>
      </c>
      <c r="G279" s="117"/>
      <c r="H279" s="29"/>
      <c r="I279" s="30">
        <f>I277+I278</f>
        <v>37196.61000000001</v>
      </c>
      <c r="J279" s="26">
        <f>I279/100000</f>
        <v>0.3719661000000001</v>
      </c>
      <c r="K279" s="111" t="s">
        <v>19</v>
      </c>
      <c r="L279" s="26">
        <f>E277/(2*(100000+I279))</f>
        <v>1.0066096020885644</v>
      </c>
      <c r="M279" s="31"/>
      <c r="Q279" s="117"/>
      <c r="R279" s="117"/>
      <c r="S279" s="117"/>
      <c r="T279" s="116"/>
    </row>
    <row r="280" spans="2:20" s="114" customFormat="1" ht="15">
      <c r="B280" s="22"/>
      <c r="C280" s="25"/>
      <c r="D280" s="26"/>
      <c r="E280" s="24"/>
      <c r="F280" s="22"/>
      <c r="G280" s="117"/>
      <c r="H280" s="29"/>
      <c r="I280" s="30"/>
      <c r="J280" s="26"/>
      <c r="K280" s="111"/>
      <c r="L280" s="26"/>
      <c r="M280" s="31"/>
      <c r="Q280" s="117"/>
      <c r="R280" s="117"/>
      <c r="S280" s="117"/>
      <c r="T280" s="116"/>
    </row>
    <row r="281" spans="1:20" s="114" customFormat="1" ht="15">
      <c r="A281" s="12"/>
      <c r="B281" s="22"/>
      <c r="C281" s="25"/>
      <c r="D281" s="26"/>
      <c r="E281" s="24"/>
      <c r="F281" s="22"/>
      <c r="G281" s="117"/>
      <c r="H281" s="29"/>
      <c r="I281" s="30"/>
      <c r="J281" s="26"/>
      <c r="K281" s="111"/>
      <c r="L281" s="26"/>
      <c r="M281" s="31"/>
      <c r="Q281" s="117"/>
      <c r="R281" s="117"/>
      <c r="S281" s="117"/>
      <c r="T281" s="116"/>
    </row>
    <row r="282" spans="1:20" s="114" customFormat="1" ht="30.75" customHeight="1">
      <c r="A282" s="130" t="s">
        <v>62</v>
      </c>
      <c r="B282" s="384" t="s">
        <v>172</v>
      </c>
      <c r="C282" s="384"/>
      <c r="D282" s="384"/>
      <c r="E282" s="384"/>
      <c r="F282" s="384"/>
      <c r="G282" s="384"/>
      <c r="H282" s="384"/>
      <c r="I282" s="384"/>
      <c r="J282" s="384"/>
      <c r="K282" s="384"/>
      <c r="L282" s="384"/>
      <c r="M282" s="384"/>
      <c r="N282" s="384"/>
      <c r="O282" s="92"/>
      <c r="P282" s="92"/>
      <c r="Q282" s="104"/>
      <c r="R282" s="104"/>
      <c r="S282" s="107"/>
      <c r="T282" s="109"/>
    </row>
    <row r="283" spans="1:22" s="114" customFormat="1" ht="15">
      <c r="A283" s="2" t="s">
        <v>0</v>
      </c>
      <c r="B283" s="3" t="s">
        <v>1</v>
      </c>
      <c r="C283" s="4" t="s">
        <v>2</v>
      </c>
      <c r="D283" s="5" t="s">
        <v>3</v>
      </c>
      <c r="E283" s="6" t="s">
        <v>4</v>
      </c>
      <c r="F283" s="3" t="s">
        <v>5</v>
      </c>
      <c r="G283" s="7" t="s">
        <v>2</v>
      </c>
      <c r="H283" s="6" t="s">
        <v>6</v>
      </c>
      <c r="I283" s="6" t="s">
        <v>7</v>
      </c>
      <c r="J283" s="8" t="s">
        <v>8</v>
      </c>
      <c r="K283" s="9" t="s">
        <v>9</v>
      </c>
      <c r="L283" s="10" t="s">
        <v>10</v>
      </c>
      <c r="M283" s="11" t="s">
        <v>11</v>
      </c>
      <c r="N283" s="103" t="s">
        <v>53</v>
      </c>
      <c r="O283" s="105" t="s">
        <v>110</v>
      </c>
      <c r="P283" s="106" t="s">
        <v>0</v>
      </c>
      <c r="Q283" s="117" t="s">
        <v>13</v>
      </c>
      <c r="R283" s="117" t="s">
        <v>70</v>
      </c>
      <c r="S283" s="111" t="s">
        <v>103</v>
      </c>
      <c r="T283" s="116" t="s">
        <v>107</v>
      </c>
      <c r="V283" s="9"/>
    </row>
    <row r="284" spans="1:22" s="114" customFormat="1" ht="15">
      <c r="A284" s="12" t="s">
        <v>92</v>
      </c>
      <c r="B284" s="65">
        <v>42010.447916666664</v>
      </c>
      <c r="C284" s="14">
        <v>111.9</v>
      </c>
      <c r="D284" s="15">
        <v>130</v>
      </c>
      <c r="E284" s="15">
        <f aca="true" t="shared" si="67" ref="E284:E312">C284*D284+11</f>
        <v>14558</v>
      </c>
      <c r="F284" s="13"/>
      <c r="G284" s="14">
        <v>135.48</v>
      </c>
      <c r="H284" s="15">
        <f aca="true" t="shared" si="68" ref="H284:H312">G284*D284</f>
        <v>17612.399999999998</v>
      </c>
      <c r="I284" s="16">
        <f aca="true" t="shared" si="69" ref="I284:I312">H284-E284</f>
        <v>3054.399999999998</v>
      </c>
      <c r="J284" s="19">
        <f aca="true" t="shared" si="70" ref="J284">I284/E284</f>
        <v>0.2098090397032558</v>
      </c>
      <c r="K284" s="132" t="s">
        <v>151</v>
      </c>
      <c r="L284" s="97">
        <v>123.03</v>
      </c>
      <c r="M284" s="41">
        <f aca="true" t="shared" si="71" ref="M284:M312">C284*0.93</f>
        <v>104.06700000000001</v>
      </c>
      <c r="N284" s="118">
        <v>141.88</v>
      </c>
      <c r="O284" s="121">
        <f>WORKDAY(B285,40,'Weekly Summary'!P$2:P$10)</f>
        <v>42069</v>
      </c>
      <c r="P284" s="116" t="s">
        <v>92</v>
      </c>
      <c r="Q284" s="117">
        <v>143.9</v>
      </c>
      <c r="R284" s="118">
        <f>Q284*0.855</f>
        <v>123.03450000000001</v>
      </c>
      <c r="S284" s="117">
        <f>1.11*C284</f>
        <v>124.20900000000002</v>
      </c>
      <c r="T284" s="116"/>
      <c r="V284" s="131"/>
    </row>
    <row r="285" spans="1:22" s="114" customFormat="1" ht="15">
      <c r="A285" s="12" t="s">
        <v>92</v>
      </c>
      <c r="B285" s="65">
        <v>42011.34305555555</v>
      </c>
      <c r="C285" s="14">
        <v>114.4</v>
      </c>
      <c r="D285" s="15">
        <v>75</v>
      </c>
      <c r="E285" s="15">
        <f t="shared" si="67"/>
        <v>8591</v>
      </c>
      <c r="F285" s="13"/>
      <c r="G285" s="14">
        <v>135.48</v>
      </c>
      <c r="H285" s="15">
        <f t="shared" si="68"/>
        <v>10161</v>
      </c>
      <c r="I285" s="16">
        <f t="shared" si="69"/>
        <v>1570</v>
      </c>
      <c r="J285" s="19">
        <f>I285/E285</f>
        <v>0.1827493888953556</v>
      </c>
      <c r="K285" s="132" t="s">
        <v>152</v>
      </c>
      <c r="L285" s="97">
        <v>123.03</v>
      </c>
      <c r="M285" s="41">
        <f t="shared" si="71"/>
        <v>106.39200000000001</v>
      </c>
      <c r="N285" s="118">
        <v>141.88</v>
      </c>
      <c r="O285" s="116"/>
      <c r="P285" s="116" t="s">
        <v>92</v>
      </c>
      <c r="Q285" s="117"/>
      <c r="R285" s="118"/>
      <c r="S285" s="117"/>
      <c r="T285" s="116"/>
      <c r="V285" s="131"/>
    </row>
    <row r="286" spans="1:22" s="114" customFormat="1" ht="15">
      <c r="A286" s="12" t="s">
        <v>92</v>
      </c>
      <c r="B286" s="65">
        <v>42012.39513888889</v>
      </c>
      <c r="C286" s="14">
        <v>117.75</v>
      </c>
      <c r="D286" s="15">
        <v>50</v>
      </c>
      <c r="E286" s="15">
        <f t="shared" si="67"/>
        <v>5898.5</v>
      </c>
      <c r="F286" s="13"/>
      <c r="G286" s="14">
        <v>135.48</v>
      </c>
      <c r="H286" s="15">
        <f t="shared" si="68"/>
        <v>6773.999999999999</v>
      </c>
      <c r="I286" s="16">
        <f t="shared" si="69"/>
        <v>875.4999999999991</v>
      </c>
      <c r="J286" s="19">
        <f>I286/E286</f>
        <v>0.14842756633042284</v>
      </c>
      <c r="K286" s="95" t="s">
        <v>95</v>
      </c>
      <c r="L286" s="97">
        <v>123.03</v>
      </c>
      <c r="M286" s="41">
        <f t="shared" si="71"/>
        <v>109.50750000000001</v>
      </c>
      <c r="N286" s="118">
        <v>141.88</v>
      </c>
      <c r="O286" s="116"/>
      <c r="P286" s="116" t="s">
        <v>92</v>
      </c>
      <c r="Q286" s="117"/>
      <c r="R286" s="118"/>
      <c r="S286" s="117"/>
      <c r="T286" s="116"/>
      <c r="V286" s="131"/>
    </row>
    <row r="287" spans="1:22" s="114" customFormat="1" ht="15">
      <c r="A287" s="12" t="s">
        <v>92</v>
      </c>
      <c r="B287" s="65">
        <v>42061.55972222222</v>
      </c>
      <c r="C287" s="14">
        <v>131.5</v>
      </c>
      <c r="D287" s="15">
        <v>50</v>
      </c>
      <c r="E287" s="15">
        <f t="shared" si="67"/>
        <v>6586</v>
      </c>
      <c r="F287" s="13"/>
      <c r="G287" s="14">
        <v>135.48</v>
      </c>
      <c r="H287" s="15">
        <f t="shared" si="68"/>
        <v>6773.999999999999</v>
      </c>
      <c r="I287" s="16">
        <f t="shared" si="69"/>
        <v>187.9999999999991</v>
      </c>
      <c r="J287" s="19">
        <f>I287/E287</f>
        <v>0.02854539933191605</v>
      </c>
      <c r="K287" s="95" t="s">
        <v>145</v>
      </c>
      <c r="L287" s="97">
        <v>123.03</v>
      </c>
      <c r="M287" s="41">
        <f t="shared" si="71"/>
        <v>122.295</v>
      </c>
      <c r="N287" s="118">
        <v>141.88</v>
      </c>
      <c r="O287" s="116"/>
      <c r="P287" s="116" t="s">
        <v>92</v>
      </c>
      <c r="Q287" s="117"/>
      <c r="R287" s="118"/>
      <c r="S287" s="117"/>
      <c r="T287" s="116"/>
      <c r="V287" s="131"/>
    </row>
    <row r="288" spans="1:22" s="114" customFormat="1" ht="15">
      <c r="A288" s="12" t="s">
        <v>64</v>
      </c>
      <c r="B288" s="65">
        <v>42011.27291666667</v>
      </c>
      <c r="C288" s="14">
        <v>70.75</v>
      </c>
      <c r="D288" s="15">
        <v>200</v>
      </c>
      <c r="E288" s="15">
        <f t="shared" si="67"/>
        <v>14161</v>
      </c>
      <c r="F288" s="13"/>
      <c r="G288" s="14">
        <v>92.92</v>
      </c>
      <c r="H288" s="15">
        <f t="shared" si="68"/>
        <v>18584</v>
      </c>
      <c r="I288" s="16">
        <f t="shared" si="69"/>
        <v>4423</v>
      </c>
      <c r="J288" s="19">
        <f aca="true" t="shared" si="72" ref="J288:J312">I288/E288</f>
        <v>0.31233669938563663</v>
      </c>
      <c r="K288" s="132" t="s">
        <v>150</v>
      </c>
      <c r="L288" s="97">
        <v>79.93</v>
      </c>
      <c r="M288" s="41">
        <f t="shared" si="71"/>
        <v>65.7975</v>
      </c>
      <c r="N288" s="118">
        <v>93.71</v>
      </c>
      <c r="O288" s="121">
        <f>WORKDAY(B290,40,'Weekly Summary'!P$2:P$10)</f>
        <v>42081</v>
      </c>
      <c r="P288" s="116" t="s">
        <v>79</v>
      </c>
      <c r="Q288" s="117">
        <v>93.48</v>
      </c>
      <c r="R288" s="118">
        <f>Q288*0.855</f>
        <v>79.9254</v>
      </c>
      <c r="S288" s="117">
        <f>1.11*C288</f>
        <v>78.53250000000001</v>
      </c>
      <c r="T288" s="116"/>
      <c r="V288" s="131"/>
    </row>
    <row r="289" spans="1:22" s="114" customFormat="1" ht="15">
      <c r="A289" s="12" t="s">
        <v>64</v>
      </c>
      <c r="B289" s="65">
        <v>42012.27847222222</v>
      </c>
      <c r="C289" s="14">
        <v>72.34</v>
      </c>
      <c r="D289" s="15">
        <v>120</v>
      </c>
      <c r="E289" s="15">
        <f t="shared" si="67"/>
        <v>8691.800000000001</v>
      </c>
      <c r="F289" s="13"/>
      <c r="G289" s="14">
        <v>92.92</v>
      </c>
      <c r="H289" s="15">
        <f t="shared" si="68"/>
        <v>11150.4</v>
      </c>
      <c r="I289" s="16">
        <f t="shared" si="69"/>
        <v>2458.5999999999985</v>
      </c>
      <c r="J289" s="19">
        <f t="shared" si="72"/>
        <v>0.28286430888883757</v>
      </c>
      <c r="K289" s="95" t="s">
        <v>117</v>
      </c>
      <c r="L289" s="97">
        <v>79.93</v>
      </c>
      <c r="M289" s="41">
        <f t="shared" si="71"/>
        <v>67.2762</v>
      </c>
      <c r="N289" s="118">
        <v>93.71</v>
      </c>
      <c r="O289" s="116"/>
      <c r="P289" s="116" t="s">
        <v>79</v>
      </c>
      <c r="Q289" s="117"/>
      <c r="R289" s="118"/>
      <c r="S289" s="117"/>
      <c r="T289" s="116"/>
      <c r="V289" s="131"/>
    </row>
    <row r="290" spans="1:22" s="114" customFormat="1" ht="15">
      <c r="A290" s="12" t="s">
        <v>64</v>
      </c>
      <c r="B290" s="65">
        <v>42024.27291666667</v>
      </c>
      <c r="C290" s="14">
        <v>75.2</v>
      </c>
      <c r="D290" s="15">
        <v>80</v>
      </c>
      <c r="E290" s="15">
        <f t="shared" si="67"/>
        <v>6027</v>
      </c>
      <c r="F290" s="13"/>
      <c r="G290" s="14">
        <v>92.92</v>
      </c>
      <c r="H290" s="15">
        <f t="shared" si="68"/>
        <v>7433.6</v>
      </c>
      <c r="I290" s="16">
        <f t="shared" si="69"/>
        <v>1406.6000000000004</v>
      </c>
      <c r="J290" s="19">
        <f t="shared" si="72"/>
        <v>0.23338310934129755</v>
      </c>
      <c r="K290" s="95" t="s">
        <v>138</v>
      </c>
      <c r="L290" s="97">
        <v>79.93</v>
      </c>
      <c r="M290" s="41">
        <f t="shared" si="71"/>
        <v>69.936</v>
      </c>
      <c r="N290" s="118">
        <v>93.71</v>
      </c>
      <c r="O290" s="116"/>
      <c r="P290" s="116" t="s">
        <v>79</v>
      </c>
      <c r="Q290" s="117"/>
      <c r="R290" s="118"/>
      <c r="S290" s="117"/>
      <c r="T290" s="116"/>
      <c r="V290" s="131"/>
    </row>
    <row r="291" spans="1:22" s="114" customFormat="1" ht="15">
      <c r="A291" s="12" t="s">
        <v>64</v>
      </c>
      <c r="B291" s="65">
        <v>42052.277083333334</v>
      </c>
      <c r="C291" s="14">
        <v>81.6</v>
      </c>
      <c r="D291" s="15">
        <v>80</v>
      </c>
      <c r="E291" s="15">
        <f t="shared" si="67"/>
        <v>6539</v>
      </c>
      <c r="F291" s="13"/>
      <c r="G291" s="14">
        <v>92.92</v>
      </c>
      <c r="H291" s="15">
        <f t="shared" si="68"/>
        <v>7433.6</v>
      </c>
      <c r="I291" s="16">
        <f t="shared" si="69"/>
        <v>894.6000000000004</v>
      </c>
      <c r="J291" s="19">
        <f t="shared" si="72"/>
        <v>0.13680990977213647</v>
      </c>
      <c r="K291" s="95" t="s">
        <v>139</v>
      </c>
      <c r="L291" s="97">
        <v>79.93</v>
      </c>
      <c r="M291" s="41">
        <f t="shared" si="71"/>
        <v>75.888</v>
      </c>
      <c r="N291" s="118">
        <v>93.71</v>
      </c>
      <c r="O291" s="116"/>
      <c r="P291" s="116" t="s">
        <v>79</v>
      </c>
      <c r="Q291" s="117"/>
      <c r="R291" s="118"/>
      <c r="S291" s="117"/>
      <c r="T291" s="116"/>
      <c r="V291" s="131"/>
    </row>
    <row r="292" spans="1:22" s="114" customFormat="1" ht="15">
      <c r="A292" s="12" t="s">
        <v>79</v>
      </c>
      <c r="B292" s="65">
        <v>42058.27361111111</v>
      </c>
      <c r="C292" s="14">
        <v>85.2</v>
      </c>
      <c r="D292" s="15">
        <v>100</v>
      </c>
      <c r="E292" s="15">
        <f t="shared" si="67"/>
        <v>8531</v>
      </c>
      <c r="F292" s="13"/>
      <c r="G292" s="14">
        <v>92.92</v>
      </c>
      <c r="H292" s="15">
        <f t="shared" si="68"/>
        <v>9292</v>
      </c>
      <c r="I292" s="16">
        <f t="shared" si="69"/>
        <v>761</v>
      </c>
      <c r="J292" s="19">
        <f t="shared" si="72"/>
        <v>0.0892040792404173</v>
      </c>
      <c r="K292" s="95" t="s">
        <v>146</v>
      </c>
      <c r="L292" s="97">
        <v>79.93</v>
      </c>
      <c r="M292" s="41">
        <f t="shared" si="71"/>
        <v>79.236</v>
      </c>
      <c r="N292" s="118">
        <v>93.71</v>
      </c>
      <c r="O292" s="116"/>
      <c r="P292" s="116" t="s">
        <v>79</v>
      </c>
      <c r="Q292" s="117"/>
      <c r="R292" s="118"/>
      <c r="S292" s="117"/>
      <c r="T292" s="116"/>
      <c r="V292" s="131"/>
    </row>
    <row r="293" spans="1:22" s="114" customFormat="1" ht="15">
      <c r="A293" s="12" t="s">
        <v>80</v>
      </c>
      <c r="B293" s="65">
        <v>42011.30486111111</v>
      </c>
      <c r="C293" s="14">
        <v>58.02</v>
      </c>
      <c r="D293" s="15">
        <v>250</v>
      </c>
      <c r="E293" s="15">
        <f t="shared" si="67"/>
        <v>14516</v>
      </c>
      <c r="F293" s="13"/>
      <c r="G293" s="14">
        <v>68.09</v>
      </c>
      <c r="H293" s="15">
        <f t="shared" si="68"/>
        <v>17022.5</v>
      </c>
      <c r="I293" s="16">
        <f t="shared" si="69"/>
        <v>2506.5</v>
      </c>
      <c r="J293" s="19">
        <f t="shared" si="72"/>
        <v>0.17267153485808762</v>
      </c>
      <c r="K293" s="95" t="s">
        <v>81</v>
      </c>
      <c r="L293" s="97">
        <v>60.06</v>
      </c>
      <c r="M293" s="41">
        <f t="shared" si="71"/>
        <v>53.958600000000004</v>
      </c>
      <c r="N293" s="118">
        <v>76.6</v>
      </c>
      <c r="O293" s="121">
        <v>42090</v>
      </c>
      <c r="P293" s="116" t="s">
        <v>80</v>
      </c>
      <c r="Q293" s="117">
        <v>70.25</v>
      </c>
      <c r="R293" s="118">
        <f>Q293*0.855</f>
        <v>60.06375</v>
      </c>
      <c r="S293" s="117">
        <f>1.11*C293</f>
        <v>64.40220000000001</v>
      </c>
      <c r="T293" s="116"/>
      <c r="V293" s="131"/>
    </row>
    <row r="294" spans="1:22" s="114" customFormat="1" ht="15">
      <c r="A294" s="12" t="s">
        <v>80</v>
      </c>
      <c r="B294" s="65">
        <v>42011.40694444445</v>
      </c>
      <c r="C294" s="14">
        <v>59.16</v>
      </c>
      <c r="D294" s="15">
        <v>150</v>
      </c>
      <c r="E294" s="15">
        <f t="shared" si="67"/>
        <v>8885</v>
      </c>
      <c r="F294" s="13"/>
      <c r="G294" s="14">
        <v>68.09</v>
      </c>
      <c r="H294" s="15">
        <f t="shared" si="68"/>
        <v>10213.5</v>
      </c>
      <c r="I294" s="16">
        <f t="shared" si="69"/>
        <v>1328.5</v>
      </c>
      <c r="J294" s="122">
        <f t="shared" si="72"/>
        <v>0.14952166572875633</v>
      </c>
      <c r="K294" s="95" t="s">
        <v>82</v>
      </c>
      <c r="L294" s="97">
        <v>60.06</v>
      </c>
      <c r="M294" s="41">
        <f t="shared" si="71"/>
        <v>55.0188</v>
      </c>
      <c r="N294" s="118">
        <v>77.93</v>
      </c>
      <c r="O294" s="116"/>
      <c r="P294" s="116" t="s">
        <v>80</v>
      </c>
      <c r="Q294" s="117"/>
      <c r="R294" s="118"/>
      <c r="S294" s="117"/>
      <c r="T294" s="116"/>
      <c r="V294" s="131"/>
    </row>
    <row r="295" spans="1:22" s="114" customFormat="1" ht="15">
      <c r="A295" s="12" t="s">
        <v>80</v>
      </c>
      <c r="B295" s="65">
        <v>42012.29305555556</v>
      </c>
      <c r="C295" s="14">
        <v>60.3</v>
      </c>
      <c r="D295" s="15">
        <v>100</v>
      </c>
      <c r="E295" s="15">
        <f t="shared" si="67"/>
        <v>6041</v>
      </c>
      <c r="F295" s="13"/>
      <c r="G295" s="14">
        <v>68.09</v>
      </c>
      <c r="H295" s="15">
        <f t="shared" si="68"/>
        <v>6809</v>
      </c>
      <c r="I295" s="16">
        <f t="shared" si="69"/>
        <v>768</v>
      </c>
      <c r="J295" s="19">
        <f t="shared" si="72"/>
        <v>0.1271312696573415</v>
      </c>
      <c r="K295" s="95" t="s">
        <v>83</v>
      </c>
      <c r="L295" s="97">
        <v>60.06</v>
      </c>
      <c r="M295" s="41">
        <f t="shared" si="71"/>
        <v>56.079</v>
      </c>
      <c r="N295" s="118">
        <v>77.93</v>
      </c>
      <c r="O295" s="116"/>
      <c r="P295" s="116" t="s">
        <v>80</v>
      </c>
      <c r="Q295" s="117"/>
      <c r="R295" s="118"/>
      <c r="S295" s="117"/>
      <c r="T295" s="116"/>
      <c r="V295" s="131"/>
    </row>
    <row r="296" spans="1:22" s="114" customFormat="1" ht="15">
      <c r="A296" s="12" t="s">
        <v>80</v>
      </c>
      <c r="B296" s="65">
        <v>42047.271527777775</v>
      </c>
      <c r="C296" s="14">
        <v>64.65</v>
      </c>
      <c r="D296" s="15">
        <v>100</v>
      </c>
      <c r="E296" s="15">
        <f t="shared" si="67"/>
        <v>6476.000000000001</v>
      </c>
      <c r="F296" s="13"/>
      <c r="G296" s="14">
        <v>68.09</v>
      </c>
      <c r="H296" s="15">
        <f t="shared" si="68"/>
        <v>6809</v>
      </c>
      <c r="I296" s="16">
        <f t="shared" si="69"/>
        <v>332.9999999999991</v>
      </c>
      <c r="J296" s="19">
        <f t="shared" si="72"/>
        <v>0.05142063001852981</v>
      </c>
      <c r="K296" s="95" t="s">
        <v>132</v>
      </c>
      <c r="L296" s="97">
        <v>60.06</v>
      </c>
      <c r="M296" s="41">
        <f t="shared" si="71"/>
        <v>60.12450000000001</v>
      </c>
      <c r="N296" s="118">
        <v>77.93</v>
      </c>
      <c r="O296" s="116"/>
      <c r="P296" s="116" t="s">
        <v>80</v>
      </c>
      <c r="Q296" s="117"/>
      <c r="R296" s="118"/>
      <c r="S296" s="117"/>
      <c r="T296" s="116"/>
      <c r="V296" s="131"/>
    </row>
    <row r="297" spans="1:20" s="114" customFormat="1" ht="15">
      <c r="A297" s="12" t="s">
        <v>73</v>
      </c>
      <c r="B297" s="65">
        <v>42017.27847222222</v>
      </c>
      <c r="C297" s="14">
        <v>21.2</v>
      </c>
      <c r="D297" s="15">
        <v>680</v>
      </c>
      <c r="E297" s="15">
        <f t="shared" si="67"/>
        <v>14427</v>
      </c>
      <c r="F297" s="13"/>
      <c r="G297" s="14">
        <v>24.58</v>
      </c>
      <c r="H297" s="15">
        <f t="shared" si="68"/>
        <v>16714.399999999998</v>
      </c>
      <c r="I297" s="16">
        <f t="shared" si="69"/>
        <v>2287.399999999998</v>
      </c>
      <c r="J297" s="19">
        <f t="shared" si="72"/>
        <v>0.15854994108269202</v>
      </c>
      <c r="K297" s="132" t="s">
        <v>171</v>
      </c>
      <c r="L297" s="119">
        <v>22.63</v>
      </c>
      <c r="M297" s="41">
        <f t="shared" si="71"/>
        <v>19.716</v>
      </c>
      <c r="N297" s="118">
        <v>26.43</v>
      </c>
      <c r="O297" s="121">
        <f>WORKDAY(B297,40,'Weekly Summary'!P$2:P$10)</f>
        <v>42075</v>
      </c>
      <c r="P297" s="116" t="s">
        <v>73</v>
      </c>
      <c r="Q297" s="117">
        <v>26.47</v>
      </c>
      <c r="R297" s="118">
        <f>Q297*0.855</f>
        <v>22.63185</v>
      </c>
      <c r="S297" s="117">
        <f>1.11*C297</f>
        <v>23.532</v>
      </c>
      <c r="T297" s="116"/>
    </row>
    <row r="298" spans="1:20" s="114" customFormat="1" ht="15">
      <c r="A298" s="12" t="s">
        <v>73</v>
      </c>
      <c r="B298" s="65">
        <v>42020.5375</v>
      </c>
      <c r="C298" s="14">
        <v>21.73</v>
      </c>
      <c r="D298" s="15">
        <v>400</v>
      </c>
      <c r="E298" s="15">
        <f t="shared" si="67"/>
        <v>8703</v>
      </c>
      <c r="F298" s="13"/>
      <c r="G298" s="14">
        <v>24.58</v>
      </c>
      <c r="H298" s="15">
        <f t="shared" si="68"/>
        <v>9832</v>
      </c>
      <c r="I298" s="16">
        <f t="shared" si="69"/>
        <v>1129</v>
      </c>
      <c r="J298" s="19">
        <f t="shared" si="72"/>
        <v>0.1297253820521659</v>
      </c>
      <c r="K298" s="95" t="s">
        <v>119</v>
      </c>
      <c r="L298" s="119">
        <v>22.63</v>
      </c>
      <c r="M298" s="41">
        <f t="shared" si="71"/>
        <v>20.2089</v>
      </c>
      <c r="N298" s="118">
        <v>26.43</v>
      </c>
      <c r="O298" s="116"/>
      <c r="P298" s="116" t="s">
        <v>73</v>
      </c>
      <c r="Q298" s="117"/>
      <c r="R298" s="118"/>
      <c r="S298" s="117"/>
      <c r="T298" s="116"/>
    </row>
    <row r="299" spans="1:20" s="114" customFormat="1" ht="15">
      <c r="A299" s="12" t="s">
        <v>73</v>
      </c>
      <c r="B299" s="65">
        <v>42024.39791666667</v>
      </c>
      <c r="C299" s="14">
        <v>22.2</v>
      </c>
      <c r="D299" s="15">
        <v>260</v>
      </c>
      <c r="E299" s="15">
        <f t="shared" si="67"/>
        <v>5783</v>
      </c>
      <c r="F299" s="13"/>
      <c r="G299" s="14">
        <v>24.58</v>
      </c>
      <c r="H299" s="15">
        <f t="shared" si="68"/>
        <v>6390.799999999999</v>
      </c>
      <c r="I299" s="16">
        <f t="shared" si="69"/>
        <v>607.7999999999993</v>
      </c>
      <c r="J299" s="19">
        <f t="shared" si="72"/>
        <v>0.10510115856821706</v>
      </c>
      <c r="K299" s="95" t="s">
        <v>118</v>
      </c>
      <c r="L299" s="119">
        <v>22.63</v>
      </c>
      <c r="M299" s="41">
        <f t="shared" si="71"/>
        <v>20.646</v>
      </c>
      <c r="N299" s="118">
        <v>26.43</v>
      </c>
      <c r="O299" s="116"/>
      <c r="P299" s="116" t="s">
        <v>73</v>
      </c>
      <c r="Q299" s="117"/>
      <c r="R299" s="118"/>
      <c r="S299" s="117"/>
      <c r="T299" s="116"/>
    </row>
    <row r="300" spans="1:20" s="114" customFormat="1" ht="15">
      <c r="A300" s="12" t="s">
        <v>73</v>
      </c>
      <c r="B300" s="65">
        <v>42364.27222222222</v>
      </c>
      <c r="C300" s="14">
        <v>23.5</v>
      </c>
      <c r="D300" s="15">
        <v>260</v>
      </c>
      <c r="E300" s="15">
        <f t="shared" si="67"/>
        <v>6121</v>
      </c>
      <c r="F300" s="13"/>
      <c r="G300" s="14">
        <v>24.58</v>
      </c>
      <c r="H300" s="15">
        <f t="shared" si="68"/>
        <v>6390.799999999999</v>
      </c>
      <c r="I300" s="16">
        <f t="shared" si="69"/>
        <v>269.7999999999993</v>
      </c>
      <c r="J300" s="19">
        <f t="shared" si="72"/>
        <v>0.0440777650710667</v>
      </c>
      <c r="K300" s="95" t="s">
        <v>147</v>
      </c>
      <c r="L300" s="119">
        <v>22.63</v>
      </c>
      <c r="M300" s="41">
        <f t="shared" si="71"/>
        <v>21.855</v>
      </c>
      <c r="N300" s="118">
        <v>26.43</v>
      </c>
      <c r="O300" s="116"/>
      <c r="P300" s="116" t="s">
        <v>73</v>
      </c>
      <c r="Q300" s="117"/>
      <c r="R300" s="118"/>
      <c r="S300" s="117"/>
      <c r="T300" s="116"/>
    </row>
    <row r="301" spans="1:20" s="114" customFormat="1" ht="15">
      <c r="A301" s="12" t="s">
        <v>61</v>
      </c>
      <c r="B301" s="65">
        <v>42040.27847222222</v>
      </c>
      <c r="C301" s="14">
        <v>132.85</v>
      </c>
      <c r="D301" s="15">
        <v>110</v>
      </c>
      <c r="E301" s="15">
        <f t="shared" si="67"/>
        <v>14624.5</v>
      </c>
      <c r="F301" s="13"/>
      <c r="G301" s="14">
        <v>150.1</v>
      </c>
      <c r="H301" s="15">
        <f t="shared" si="68"/>
        <v>16511</v>
      </c>
      <c r="I301" s="16">
        <f t="shared" si="69"/>
        <v>1886.5</v>
      </c>
      <c r="J301" s="19">
        <f t="shared" si="72"/>
        <v>0.128995863106431</v>
      </c>
      <c r="K301" s="95" t="s">
        <v>134</v>
      </c>
      <c r="L301" s="119">
        <v>133.38</v>
      </c>
      <c r="M301" s="41">
        <f t="shared" si="71"/>
        <v>123.5505</v>
      </c>
      <c r="N301" s="118">
        <v>168.13</v>
      </c>
      <c r="O301" s="121">
        <v>42086</v>
      </c>
      <c r="P301" s="116" t="s">
        <v>61</v>
      </c>
      <c r="Q301" s="117">
        <v>156</v>
      </c>
      <c r="R301" s="118">
        <f>Q301*0.855</f>
        <v>133.38</v>
      </c>
      <c r="S301" s="117">
        <f>1.11*C301</f>
        <v>147.4635</v>
      </c>
      <c r="T301" s="116"/>
    </row>
    <row r="302" spans="1:20" s="114" customFormat="1" ht="15">
      <c r="A302" s="12" t="s">
        <v>61</v>
      </c>
      <c r="B302" s="65">
        <v>42045.27291666667</v>
      </c>
      <c r="C302" s="14">
        <v>135.9</v>
      </c>
      <c r="D302" s="15">
        <v>65</v>
      </c>
      <c r="E302" s="15">
        <f t="shared" si="67"/>
        <v>8844.5</v>
      </c>
      <c r="F302" s="13"/>
      <c r="G302" s="14">
        <v>150.1</v>
      </c>
      <c r="H302" s="15">
        <f t="shared" si="68"/>
        <v>9756.5</v>
      </c>
      <c r="I302" s="16">
        <f t="shared" si="69"/>
        <v>912</v>
      </c>
      <c r="J302" s="19">
        <f t="shared" si="72"/>
        <v>0.10311493018259936</v>
      </c>
      <c r="K302" s="95" t="s">
        <v>141</v>
      </c>
      <c r="L302" s="119">
        <v>133.38</v>
      </c>
      <c r="M302" s="41">
        <f t="shared" si="71"/>
        <v>126.38700000000001</v>
      </c>
      <c r="N302" s="118">
        <v>168.13</v>
      </c>
      <c r="O302" s="116"/>
      <c r="P302" s="116" t="s">
        <v>61</v>
      </c>
      <c r="Q302" s="117"/>
      <c r="R302" s="118"/>
      <c r="S302" s="117"/>
      <c r="T302" s="116"/>
    </row>
    <row r="303" spans="1:20" s="114" customFormat="1" ht="15">
      <c r="A303" s="12" t="s">
        <v>61</v>
      </c>
      <c r="B303" s="65">
        <v>42054.277083333334</v>
      </c>
      <c r="C303" s="14">
        <v>139.17</v>
      </c>
      <c r="D303" s="15">
        <v>40</v>
      </c>
      <c r="E303" s="15">
        <f t="shared" si="67"/>
        <v>5577.799999999999</v>
      </c>
      <c r="F303" s="13"/>
      <c r="G303" s="14">
        <v>150.1</v>
      </c>
      <c r="H303" s="15">
        <f t="shared" si="68"/>
        <v>6004</v>
      </c>
      <c r="I303" s="16">
        <f t="shared" si="69"/>
        <v>426.2000000000007</v>
      </c>
      <c r="J303" s="19">
        <f t="shared" si="72"/>
        <v>0.07641005414321073</v>
      </c>
      <c r="K303" s="95" t="s">
        <v>140</v>
      </c>
      <c r="L303" s="119">
        <v>133.38</v>
      </c>
      <c r="M303" s="41">
        <f t="shared" si="71"/>
        <v>129.4281</v>
      </c>
      <c r="N303" s="118">
        <v>168.13</v>
      </c>
      <c r="O303" s="116"/>
      <c r="P303" s="116" t="s">
        <v>61</v>
      </c>
      <c r="Q303" s="117"/>
      <c r="R303" s="118"/>
      <c r="S303" s="117"/>
      <c r="T303" s="116"/>
    </row>
    <row r="304" spans="1:20" s="114" customFormat="1" ht="15">
      <c r="A304" s="85" t="s">
        <v>61</v>
      </c>
      <c r="B304" s="65">
        <v>42075.56458333333</v>
      </c>
      <c r="C304" s="14">
        <v>154</v>
      </c>
      <c r="D304" s="15">
        <v>40</v>
      </c>
      <c r="E304" s="15">
        <f t="shared" si="67"/>
        <v>6171</v>
      </c>
      <c r="F304" s="13"/>
      <c r="G304" s="14">
        <v>150.1</v>
      </c>
      <c r="H304" s="15">
        <f t="shared" si="68"/>
        <v>6004</v>
      </c>
      <c r="I304" s="16">
        <f t="shared" si="69"/>
        <v>-167</v>
      </c>
      <c r="J304" s="19">
        <f t="shared" si="72"/>
        <v>-0.027062064495219574</v>
      </c>
      <c r="K304" s="95" t="s">
        <v>160</v>
      </c>
      <c r="L304" s="119"/>
      <c r="M304" s="20">
        <f t="shared" si="71"/>
        <v>143.22</v>
      </c>
      <c r="N304" s="118">
        <v>168.13</v>
      </c>
      <c r="O304" s="116"/>
      <c r="P304" s="116" t="s">
        <v>61</v>
      </c>
      <c r="Q304" s="117"/>
      <c r="R304" s="118"/>
      <c r="S304" s="117"/>
      <c r="T304" s="116"/>
    </row>
    <row r="305" spans="1:20" s="114" customFormat="1" ht="15">
      <c r="A305" s="12" t="s">
        <v>52</v>
      </c>
      <c r="B305" s="65">
        <v>42046.27361111111</v>
      </c>
      <c r="C305" s="14">
        <v>129.75</v>
      </c>
      <c r="D305" s="15">
        <v>80</v>
      </c>
      <c r="E305" s="15">
        <f t="shared" si="67"/>
        <v>10391</v>
      </c>
      <c r="F305" s="13"/>
      <c r="G305" s="14">
        <v>141.34</v>
      </c>
      <c r="H305" s="15">
        <f t="shared" si="68"/>
        <v>11307.2</v>
      </c>
      <c r="I305" s="16">
        <f t="shared" si="69"/>
        <v>916.2000000000007</v>
      </c>
      <c r="J305" s="19">
        <f t="shared" si="72"/>
        <v>0.08817245693388516</v>
      </c>
      <c r="K305" s="95" t="s">
        <v>135</v>
      </c>
      <c r="L305" s="119">
        <v>127.69</v>
      </c>
      <c r="M305" s="41">
        <f t="shared" si="71"/>
        <v>120.6675</v>
      </c>
      <c r="N305" s="118">
        <v>161.78</v>
      </c>
      <c r="O305" s="121">
        <f>WORKDAY(B305,40,'Weekly Summary'!P$2:P$10)</f>
        <v>42104</v>
      </c>
      <c r="P305" s="116" t="s">
        <v>52</v>
      </c>
      <c r="Q305" s="117">
        <v>149.35</v>
      </c>
      <c r="R305" s="118">
        <f>Q305*0.855</f>
        <v>127.69425</v>
      </c>
      <c r="S305" s="117">
        <f>1.11*C305</f>
        <v>144.0225</v>
      </c>
      <c r="T305" s="116"/>
    </row>
    <row r="306" spans="1:20" s="114" customFormat="1" ht="15">
      <c r="A306" s="12" t="s">
        <v>52</v>
      </c>
      <c r="B306" s="65">
        <v>42047.275</v>
      </c>
      <c r="C306" s="14">
        <v>133.95</v>
      </c>
      <c r="D306" s="15">
        <v>45</v>
      </c>
      <c r="E306" s="15">
        <f t="shared" si="67"/>
        <v>6038.749999999999</v>
      </c>
      <c r="F306" s="13"/>
      <c r="G306" s="14">
        <v>141.34</v>
      </c>
      <c r="H306" s="15">
        <f t="shared" si="68"/>
        <v>6360.3</v>
      </c>
      <c r="I306" s="16">
        <f t="shared" si="69"/>
        <v>321.5500000000011</v>
      </c>
      <c r="J306" s="19">
        <f t="shared" si="72"/>
        <v>0.05324777478782879</v>
      </c>
      <c r="K306" s="95" t="s">
        <v>136</v>
      </c>
      <c r="L306" s="119">
        <v>127.69</v>
      </c>
      <c r="M306" s="41">
        <f t="shared" si="71"/>
        <v>124.5735</v>
      </c>
      <c r="N306" s="118">
        <v>161.78</v>
      </c>
      <c r="O306" s="116"/>
      <c r="P306" s="116" t="s">
        <v>52</v>
      </c>
      <c r="Q306" s="117"/>
      <c r="R306" s="118"/>
      <c r="S306" s="117"/>
      <c r="T306" s="116"/>
    </row>
    <row r="307" spans="1:20" s="114" customFormat="1" ht="15">
      <c r="A307" s="12" t="s">
        <v>52</v>
      </c>
      <c r="B307" s="65">
        <v>42048.450694444444</v>
      </c>
      <c r="C307" s="14">
        <v>135.8</v>
      </c>
      <c r="D307" s="15">
        <v>30</v>
      </c>
      <c r="E307" s="15">
        <f t="shared" si="67"/>
        <v>4085.0000000000005</v>
      </c>
      <c r="F307" s="13"/>
      <c r="G307" s="14">
        <v>141.34</v>
      </c>
      <c r="H307" s="15">
        <f t="shared" si="68"/>
        <v>4240.2</v>
      </c>
      <c r="I307" s="16">
        <f t="shared" si="69"/>
        <v>155.19999999999936</v>
      </c>
      <c r="J307" s="19">
        <f t="shared" si="72"/>
        <v>0.03799265605875137</v>
      </c>
      <c r="K307" s="95" t="s">
        <v>143</v>
      </c>
      <c r="L307" s="119">
        <v>127.69</v>
      </c>
      <c r="M307" s="41">
        <f t="shared" si="71"/>
        <v>126.29400000000001</v>
      </c>
      <c r="N307" s="118">
        <v>161.78</v>
      </c>
      <c r="O307" s="116"/>
      <c r="P307" s="116" t="s">
        <v>52</v>
      </c>
      <c r="Q307" s="117"/>
      <c r="R307" s="118"/>
      <c r="S307" s="117"/>
      <c r="T307" s="116"/>
    </row>
    <row r="308" spans="1:20" s="114" customFormat="1" ht="15">
      <c r="A308" s="85" t="s">
        <v>52</v>
      </c>
      <c r="B308" s="65">
        <v>42074.29027777778</v>
      </c>
      <c r="C308" s="14">
        <v>140.55</v>
      </c>
      <c r="D308" s="15">
        <v>30</v>
      </c>
      <c r="E308" s="15">
        <f t="shared" si="67"/>
        <v>4227.5</v>
      </c>
      <c r="F308" s="13"/>
      <c r="G308" s="14">
        <v>141.34</v>
      </c>
      <c r="H308" s="15">
        <f t="shared" si="68"/>
        <v>4240.2</v>
      </c>
      <c r="I308" s="16">
        <f t="shared" si="69"/>
        <v>12.699999999999818</v>
      </c>
      <c r="J308" s="19">
        <f t="shared" si="72"/>
        <v>0.0030041395623890757</v>
      </c>
      <c r="K308" s="95" t="s">
        <v>182</v>
      </c>
      <c r="L308" s="119"/>
      <c r="M308" s="20">
        <f t="shared" si="71"/>
        <v>130.71150000000003</v>
      </c>
      <c r="N308" s="118">
        <v>161.78</v>
      </c>
      <c r="O308" s="116"/>
      <c r="P308" s="116" t="s">
        <v>52</v>
      </c>
      <c r="Q308" s="117"/>
      <c r="R308" s="118"/>
      <c r="S308" s="117"/>
      <c r="T308" s="116"/>
    </row>
    <row r="309" spans="1:20" s="114" customFormat="1" ht="15">
      <c r="A309" s="12" t="s">
        <v>39</v>
      </c>
      <c r="B309" s="65">
        <v>42062.53680555556</v>
      </c>
      <c r="C309" s="14">
        <v>57.65</v>
      </c>
      <c r="D309" s="15">
        <v>100</v>
      </c>
      <c r="E309" s="15">
        <f t="shared" si="67"/>
        <v>5776</v>
      </c>
      <c r="F309" s="13"/>
      <c r="G309" s="14">
        <v>68.4</v>
      </c>
      <c r="H309" s="15">
        <f t="shared" si="68"/>
        <v>6840.000000000001</v>
      </c>
      <c r="I309" s="16">
        <f t="shared" si="69"/>
        <v>1064.000000000001</v>
      </c>
      <c r="J309" s="19">
        <f t="shared" si="72"/>
        <v>0.18421052631578963</v>
      </c>
      <c r="K309" s="95" t="s">
        <v>149</v>
      </c>
      <c r="L309" s="119">
        <v>59.21</v>
      </c>
      <c r="M309" s="41">
        <f t="shared" si="71"/>
        <v>53.6145</v>
      </c>
      <c r="N309" s="118">
        <v>79</v>
      </c>
      <c r="O309" s="121">
        <v>42124</v>
      </c>
      <c r="P309" s="116" t="s">
        <v>39</v>
      </c>
      <c r="Q309" s="117">
        <v>69.25</v>
      </c>
      <c r="R309" s="118">
        <f>Q309*0.855</f>
        <v>59.20875</v>
      </c>
      <c r="S309" s="117">
        <f>1.11*C309</f>
        <v>63.9915</v>
      </c>
      <c r="T309" s="116"/>
    </row>
    <row r="310" spans="1:20" s="114" customFormat="1" ht="15">
      <c r="A310" s="85" t="s">
        <v>39</v>
      </c>
      <c r="B310" s="65">
        <v>42073.322916666664</v>
      </c>
      <c r="C310" s="14">
        <v>65.15</v>
      </c>
      <c r="D310" s="15">
        <v>350</v>
      </c>
      <c r="E310" s="15">
        <f t="shared" si="67"/>
        <v>22813.500000000004</v>
      </c>
      <c r="F310" s="13"/>
      <c r="G310" s="14">
        <v>68.4</v>
      </c>
      <c r="H310" s="15">
        <f t="shared" si="68"/>
        <v>23940.000000000004</v>
      </c>
      <c r="I310" s="16">
        <f t="shared" si="69"/>
        <v>1126.5</v>
      </c>
      <c r="J310" s="19">
        <f t="shared" si="72"/>
        <v>0.04937865737392333</v>
      </c>
      <c r="K310" s="95" t="s">
        <v>164</v>
      </c>
      <c r="L310" s="119"/>
      <c r="M310" s="20">
        <f t="shared" si="71"/>
        <v>60.58950000000001</v>
      </c>
      <c r="N310" s="118">
        <v>79</v>
      </c>
      <c r="O310" s="116"/>
      <c r="P310" s="116" t="s">
        <v>39</v>
      </c>
      <c r="Q310" s="117"/>
      <c r="R310" s="118"/>
      <c r="S310" s="117"/>
      <c r="T310" s="116"/>
    </row>
    <row r="311" spans="1:20" s="114" customFormat="1" ht="15">
      <c r="A311" s="85" t="s">
        <v>39</v>
      </c>
      <c r="B311" s="65">
        <v>42073.35555555556</v>
      </c>
      <c r="C311" s="14">
        <v>66.15</v>
      </c>
      <c r="D311" s="15">
        <v>110</v>
      </c>
      <c r="E311" s="15">
        <f t="shared" si="67"/>
        <v>7287.500000000001</v>
      </c>
      <c r="F311" s="13"/>
      <c r="G311" s="14">
        <v>68.4</v>
      </c>
      <c r="H311" s="15">
        <f t="shared" si="68"/>
        <v>7524.000000000001</v>
      </c>
      <c r="I311" s="16">
        <f t="shared" si="69"/>
        <v>236.5</v>
      </c>
      <c r="J311" s="19">
        <f t="shared" si="72"/>
        <v>0.03245283018867924</v>
      </c>
      <c r="K311" s="95" t="s">
        <v>165</v>
      </c>
      <c r="L311" s="119"/>
      <c r="M311" s="20">
        <f t="shared" si="71"/>
        <v>61.51950000000001</v>
      </c>
      <c r="N311" s="118">
        <v>79</v>
      </c>
      <c r="O311" s="116"/>
      <c r="P311" s="116" t="s">
        <v>39</v>
      </c>
      <c r="Q311" s="117"/>
      <c r="R311" s="118"/>
      <c r="S311" s="117"/>
      <c r="T311" s="116"/>
    </row>
    <row r="312" spans="1:20" s="114" customFormat="1" ht="15">
      <c r="A312" s="85" t="s">
        <v>169</v>
      </c>
      <c r="B312" s="65">
        <v>42076.538194444445</v>
      </c>
      <c r="C312" s="14">
        <v>56.64</v>
      </c>
      <c r="D312" s="15">
        <v>320</v>
      </c>
      <c r="E312" s="15">
        <f t="shared" si="67"/>
        <v>18135.8</v>
      </c>
      <c r="F312" s="13"/>
      <c r="G312" s="14">
        <v>56.58</v>
      </c>
      <c r="H312" s="15">
        <f t="shared" si="68"/>
        <v>18105.6</v>
      </c>
      <c r="I312" s="16">
        <f t="shared" si="69"/>
        <v>-30.200000000000728</v>
      </c>
      <c r="J312" s="19">
        <f t="shared" si="72"/>
        <v>-0.001665214658300198</v>
      </c>
      <c r="K312" s="95" t="s">
        <v>183</v>
      </c>
      <c r="L312" s="119"/>
      <c r="M312" s="20">
        <f t="shared" si="71"/>
        <v>52.675200000000004</v>
      </c>
      <c r="N312" s="118">
        <v>71.25</v>
      </c>
      <c r="O312" s="121">
        <v>42132</v>
      </c>
      <c r="P312" s="116" t="s">
        <v>169</v>
      </c>
      <c r="Q312" s="117"/>
      <c r="R312" s="118"/>
      <c r="S312" s="117">
        <f>1.11*C312</f>
        <v>62.870400000000004</v>
      </c>
      <c r="T312" s="116"/>
    </row>
    <row r="313" spans="1:20" s="114" customFormat="1" ht="15">
      <c r="A313" s="12"/>
      <c r="B313" s="13"/>
      <c r="C313" s="14"/>
      <c r="D313" s="15"/>
      <c r="E313" s="15"/>
      <c r="F313" s="13"/>
      <c r="G313" s="14"/>
      <c r="H313" s="15"/>
      <c r="I313" s="16"/>
      <c r="J313" s="19"/>
      <c r="K313" s="95"/>
      <c r="L313" s="119"/>
      <c r="M313" s="32"/>
      <c r="N313" s="118"/>
      <c r="Q313" s="117"/>
      <c r="R313" s="117"/>
      <c r="S313" s="117"/>
      <c r="T313" s="116"/>
    </row>
    <row r="314" spans="1:20" s="114" customFormat="1" ht="15">
      <c r="A314" s="21" t="s">
        <v>14</v>
      </c>
      <c r="B314" s="22"/>
      <c r="C314" s="23"/>
      <c r="D314" s="24"/>
      <c r="E314" s="24">
        <f>SUM(E284:E313)</f>
        <v>264508.14999999997</v>
      </c>
      <c r="F314" s="22"/>
      <c r="G314" s="23"/>
      <c r="H314" s="24">
        <f>SUM(H284:H313)</f>
        <v>296230</v>
      </c>
      <c r="I314" s="25">
        <f>SUM(I284:I313)</f>
        <v>31721.849999999995</v>
      </c>
      <c r="J314" s="26">
        <f>I314/E314</f>
        <v>0.11992768464790216</v>
      </c>
      <c r="K314" s="27" t="s">
        <v>15</v>
      </c>
      <c r="L314" s="28">
        <f>100000+I316</f>
        <v>141028.71</v>
      </c>
      <c r="M314" s="81"/>
      <c r="N314" s="89"/>
      <c r="Q314" s="117"/>
      <c r="R314" s="117"/>
      <c r="S314" s="117"/>
      <c r="T314" s="116"/>
    </row>
    <row r="315" spans="1:20" s="114" customFormat="1" ht="15">
      <c r="A315" s="12" t="s">
        <v>67</v>
      </c>
      <c r="B315" s="22"/>
      <c r="C315" s="25">
        <f>I316-I279</f>
        <v>3832.0999999999913</v>
      </c>
      <c r="D315" s="26">
        <f>C315/H277</f>
        <v>0.012122924256477912</v>
      </c>
      <c r="E315" s="24"/>
      <c r="F315" s="22" t="s">
        <v>16</v>
      </c>
      <c r="G315" s="117"/>
      <c r="H315" s="29" t="str">
        <f>IF(ABS(H314-E314-I314)&lt;1,"","ERROR")</f>
        <v/>
      </c>
      <c r="I315" s="30">
        <v>9306.860000000002</v>
      </c>
      <c r="J315" s="26"/>
      <c r="K315" s="111" t="s">
        <v>17</v>
      </c>
      <c r="L315" s="28">
        <f>(2*(100000+I316))-E314</f>
        <v>17549.27000000002</v>
      </c>
      <c r="M315" s="31"/>
      <c r="Q315" s="117"/>
      <c r="R315" s="117"/>
      <c r="S315" s="117"/>
      <c r="T315" s="116"/>
    </row>
    <row r="316" spans="1:20" s="114" customFormat="1" ht="15">
      <c r="A316" s="12" t="s">
        <v>54</v>
      </c>
      <c r="B316" s="22"/>
      <c r="C316" s="25">
        <f>L314-L277</f>
        <v>3832.0999999999767</v>
      </c>
      <c r="D316" s="26">
        <f>C316/L277</f>
        <v>0.0279314481604172</v>
      </c>
      <c r="E316" s="24"/>
      <c r="F316" s="22" t="s">
        <v>18</v>
      </c>
      <c r="G316" s="117"/>
      <c r="H316" s="29"/>
      <c r="I316" s="30">
        <f>I314+I315</f>
        <v>41028.71</v>
      </c>
      <c r="J316" s="26">
        <f>I316/100000</f>
        <v>0.4102871</v>
      </c>
      <c r="K316" s="111" t="s">
        <v>19</v>
      </c>
      <c r="L316" s="26">
        <f>E314/(2*(100000+I316))</f>
        <v>0.9377812149029796</v>
      </c>
      <c r="M316" s="31"/>
      <c r="Q316" s="117"/>
      <c r="R316" s="117"/>
      <c r="S316" s="117"/>
      <c r="T316" s="116"/>
    </row>
    <row r="317" spans="2:20" s="114" customFormat="1" ht="15">
      <c r="B317" s="22"/>
      <c r="C317" s="25"/>
      <c r="D317" s="26"/>
      <c r="E317" s="24"/>
      <c r="F317" s="22"/>
      <c r="G317" s="117"/>
      <c r="H317" s="29"/>
      <c r="I317" s="30"/>
      <c r="J317" s="26"/>
      <c r="K317" s="111"/>
      <c r="L317" s="26"/>
      <c r="M317" s="31"/>
      <c r="Q317" s="117"/>
      <c r="R317" s="117"/>
      <c r="S317" s="117"/>
      <c r="T317" s="116"/>
    </row>
    <row r="318" spans="1:20" s="114" customFormat="1" ht="15">
      <c r="A318" s="12"/>
      <c r="B318" s="22"/>
      <c r="C318" s="25"/>
      <c r="D318" s="26"/>
      <c r="E318" s="24"/>
      <c r="F318" s="22"/>
      <c r="G318" s="117"/>
      <c r="H318" s="29"/>
      <c r="I318" s="30"/>
      <c r="J318" s="26"/>
      <c r="K318" s="111"/>
      <c r="L318" s="26"/>
      <c r="M318" s="31"/>
      <c r="Q318" s="117"/>
      <c r="R318" s="117"/>
      <c r="S318" s="117"/>
      <c r="T318" s="116"/>
    </row>
    <row r="319" spans="1:20" s="114" customFormat="1" ht="30.75" customHeight="1">
      <c r="A319" s="130" t="s">
        <v>62</v>
      </c>
      <c r="B319" s="384" t="s">
        <v>173</v>
      </c>
      <c r="C319" s="384"/>
      <c r="D319" s="384"/>
      <c r="E319" s="384"/>
      <c r="F319" s="384"/>
      <c r="G319" s="384"/>
      <c r="H319" s="384"/>
      <c r="I319" s="384"/>
      <c r="J319" s="384"/>
      <c r="K319" s="384"/>
      <c r="L319" s="384"/>
      <c r="M319" s="384"/>
      <c r="N319" s="384"/>
      <c r="O319" s="92"/>
      <c r="P319" s="92"/>
      <c r="Q319" s="104"/>
      <c r="R319" s="104"/>
      <c r="S319" s="107"/>
      <c r="T319" s="109"/>
    </row>
    <row r="320" spans="1:22" s="114" customFormat="1" ht="15">
      <c r="A320" s="2" t="s">
        <v>0</v>
      </c>
      <c r="B320" s="3" t="s">
        <v>1</v>
      </c>
      <c r="C320" s="4" t="s">
        <v>2</v>
      </c>
      <c r="D320" s="5" t="s">
        <v>3</v>
      </c>
      <c r="E320" s="6" t="s">
        <v>4</v>
      </c>
      <c r="F320" s="3" t="s">
        <v>5</v>
      </c>
      <c r="G320" s="7" t="s">
        <v>2</v>
      </c>
      <c r="H320" s="6" t="s">
        <v>6</v>
      </c>
      <c r="I320" s="6" t="s">
        <v>7</v>
      </c>
      <c r="J320" s="8" t="s">
        <v>8</v>
      </c>
      <c r="K320" s="9" t="s">
        <v>9</v>
      </c>
      <c r="L320" s="10" t="s">
        <v>10</v>
      </c>
      <c r="M320" s="11" t="s">
        <v>11</v>
      </c>
      <c r="N320" s="103" t="s">
        <v>53</v>
      </c>
      <c r="O320" s="105" t="s">
        <v>110</v>
      </c>
      <c r="P320" s="106" t="s">
        <v>0</v>
      </c>
      <c r="Q320" s="117" t="s">
        <v>13</v>
      </c>
      <c r="R320" s="117" t="s">
        <v>70</v>
      </c>
      <c r="S320" s="111" t="s">
        <v>103</v>
      </c>
      <c r="T320" s="116" t="s">
        <v>107</v>
      </c>
      <c r="V320" s="9"/>
    </row>
    <row r="321" spans="1:22" s="114" customFormat="1" ht="15">
      <c r="A321" s="12" t="s">
        <v>92</v>
      </c>
      <c r="B321" s="65">
        <v>42010.447916666664</v>
      </c>
      <c r="C321" s="14">
        <v>111.9</v>
      </c>
      <c r="D321" s="15">
        <v>130</v>
      </c>
      <c r="E321" s="15">
        <f aca="true" t="shared" si="73" ref="E321:E350">C321*D321+11</f>
        <v>14558</v>
      </c>
      <c r="F321" s="13"/>
      <c r="G321" s="14">
        <v>137.52</v>
      </c>
      <c r="H321" s="15">
        <f aca="true" t="shared" si="74" ref="H321:H350">G321*D321</f>
        <v>17877.600000000002</v>
      </c>
      <c r="I321" s="16">
        <f aca="true" t="shared" si="75" ref="I321:I350">H321-E321</f>
        <v>3319.600000000002</v>
      </c>
      <c r="J321" s="19">
        <f aca="true" t="shared" si="76" ref="J321">I321/E321</f>
        <v>0.22802582772358856</v>
      </c>
      <c r="K321" s="132" t="s">
        <v>151</v>
      </c>
      <c r="L321" s="97">
        <v>123.03</v>
      </c>
      <c r="M321" s="41">
        <f aca="true" t="shared" si="77" ref="M321:M350">C321*0.93</f>
        <v>104.06700000000001</v>
      </c>
      <c r="N321" s="118">
        <v>141.88</v>
      </c>
      <c r="O321" s="121">
        <f>WORKDAY(B322,40,'Weekly Summary'!P$2:P$10)</f>
        <v>42069</v>
      </c>
      <c r="P321" s="116" t="s">
        <v>92</v>
      </c>
      <c r="Q321" s="117">
        <v>143.9</v>
      </c>
      <c r="R321" s="118">
        <f>Q321*0.855</f>
        <v>123.03450000000001</v>
      </c>
      <c r="S321" s="117">
        <f>1.11*C321</f>
        <v>124.20900000000002</v>
      </c>
      <c r="T321" s="116"/>
      <c r="V321" s="131"/>
    </row>
    <row r="322" spans="1:22" s="114" customFormat="1" ht="15">
      <c r="A322" s="12" t="s">
        <v>92</v>
      </c>
      <c r="B322" s="65">
        <v>42011.34305555555</v>
      </c>
      <c r="C322" s="14">
        <v>114.4</v>
      </c>
      <c r="D322" s="15">
        <v>75</v>
      </c>
      <c r="E322" s="15">
        <f t="shared" si="73"/>
        <v>8591</v>
      </c>
      <c r="F322" s="13"/>
      <c r="G322" s="14">
        <v>137.52</v>
      </c>
      <c r="H322" s="15">
        <f t="shared" si="74"/>
        <v>10314</v>
      </c>
      <c r="I322" s="16">
        <f t="shared" si="75"/>
        <v>1723</v>
      </c>
      <c r="J322" s="19">
        <f>I322/E322</f>
        <v>0.20055872424630428</v>
      </c>
      <c r="K322" s="132" t="s">
        <v>152</v>
      </c>
      <c r="L322" s="97">
        <v>123.03</v>
      </c>
      <c r="M322" s="41">
        <f t="shared" si="77"/>
        <v>106.39200000000001</v>
      </c>
      <c r="N322" s="118">
        <v>141.88</v>
      </c>
      <c r="O322" s="116"/>
      <c r="P322" s="116" t="s">
        <v>92</v>
      </c>
      <c r="Q322" s="117"/>
      <c r="R322" s="118"/>
      <c r="S322" s="117"/>
      <c r="T322" s="116"/>
      <c r="V322" s="131"/>
    </row>
    <row r="323" spans="1:22" s="114" customFormat="1" ht="15">
      <c r="A323" s="12" t="s">
        <v>92</v>
      </c>
      <c r="B323" s="65">
        <v>42012.39513888889</v>
      </c>
      <c r="C323" s="14">
        <v>117.75</v>
      </c>
      <c r="D323" s="15">
        <v>50</v>
      </c>
      <c r="E323" s="15">
        <f t="shared" si="73"/>
        <v>5898.5</v>
      </c>
      <c r="F323" s="13"/>
      <c r="G323" s="14">
        <v>137.52</v>
      </c>
      <c r="H323" s="15">
        <f t="shared" si="74"/>
        <v>6876.000000000001</v>
      </c>
      <c r="I323" s="16">
        <f t="shared" si="75"/>
        <v>977.5000000000009</v>
      </c>
      <c r="J323" s="19">
        <f>I323/E323</f>
        <v>0.16572009833008408</v>
      </c>
      <c r="K323" s="95" t="s">
        <v>95</v>
      </c>
      <c r="L323" s="97">
        <v>123.03</v>
      </c>
      <c r="M323" s="41">
        <f t="shared" si="77"/>
        <v>109.50750000000001</v>
      </c>
      <c r="N323" s="118">
        <v>141.88</v>
      </c>
      <c r="O323" s="116"/>
      <c r="P323" s="116" t="s">
        <v>92</v>
      </c>
      <c r="Q323" s="117"/>
      <c r="R323" s="118"/>
      <c r="S323" s="117"/>
      <c r="T323" s="116"/>
      <c r="V323" s="131"/>
    </row>
    <row r="324" spans="1:22" s="114" customFormat="1" ht="15">
      <c r="A324" s="12" t="s">
        <v>92</v>
      </c>
      <c r="B324" s="65">
        <v>42061.55972222222</v>
      </c>
      <c r="C324" s="14">
        <v>131.5</v>
      </c>
      <c r="D324" s="15">
        <v>50</v>
      </c>
      <c r="E324" s="15">
        <f t="shared" si="73"/>
        <v>6586</v>
      </c>
      <c r="F324" s="13"/>
      <c r="G324" s="14">
        <v>137.52</v>
      </c>
      <c r="H324" s="15">
        <f t="shared" si="74"/>
        <v>6876.000000000001</v>
      </c>
      <c r="I324" s="16">
        <f t="shared" si="75"/>
        <v>290.0000000000009</v>
      </c>
      <c r="J324" s="19">
        <f>I324/E324</f>
        <v>0.044032796841785744</v>
      </c>
      <c r="K324" s="95" t="s">
        <v>145</v>
      </c>
      <c r="L324" s="97">
        <v>123.03</v>
      </c>
      <c r="M324" s="41">
        <f t="shared" si="77"/>
        <v>122.295</v>
      </c>
      <c r="N324" s="118">
        <v>141.88</v>
      </c>
      <c r="O324" s="116"/>
      <c r="P324" s="116" t="s">
        <v>92</v>
      </c>
      <c r="Q324" s="117"/>
      <c r="R324" s="118"/>
      <c r="S324" s="117"/>
      <c r="T324" s="116"/>
      <c r="V324" s="131"/>
    </row>
    <row r="325" spans="1:22" s="114" customFormat="1" ht="15">
      <c r="A325" s="12" t="s">
        <v>80</v>
      </c>
      <c r="B325" s="65">
        <v>42011.30486111111</v>
      </c>
      <c r="C325" s="14">
        <v>58.02</v>
      </c>
      <c r="D325" s="15">
        <v>250</v>
      </c>
      <c r="E325" s="15">
        <f t="shared" si="73"/>
        <v>14516</v>
      </c>
      <c r="F325" s="13"/>
      <c r="G325" s="14">
        <v>71.41</v>
      </c>
      <c r="H325" s="15">
        <f t="shared" si="74"/>
        <v>17852.5</v>
      </c>
      <c r="I325" s="16">
        <f t="shared" si="75"/>
        <v>3336.5</v>
      </c>
      <c r="J325" s="19">
        <f aca="true" t="shared" si="78" ref="J325:J350">I325/E325</f>
        <v>0.22984982088729677</v>
      </c>
      <c r="K325" s="95" t="s">
        <v>81</v>
      </c>
      <c r="L325" s="97">
        <v>62.12</v>
      </c>
      <c r="M325" s="41">
        <f t="shared" si="77"/>
        <v>53.958600000000004</v>
      </c>
      <c r="N325" s="118">
        <v>76.6</v>
      </c>
      <c r="O325" s="121">
        <v>42090</v>
      </c>
      <c r="P325" s="116" t="s">
        <v>80</v>
      </c>
      <c r="Q325" s="117">
        <v>72.66</v>
      </c>
      <c r="R325" s="118">
        <f>Q325*0.855</f>
        <v>62.1243</v>
      </c>
      <c r="S325" s="117">
        <f>1.11*C325</f>
        <v>64.40220000000001</v>
      </c>
      <c r="T325" s="116"/>
      <c r="V325" s="131"/>
    </row>
    <row r="326" spans="1:22" s="114" customFormat="1" ht="15">
      <c r="A326" s="12" t="s">
        <v>80</v>
      </c>
      <c r="B326" s="65">
        <v>42011.40694444445</v>
      </c>
      <c r="C326" s="14">
        <v>59.16</v>
      </c>
      <c r="D326" s="15">
        <v>150</v>
      </c>
      <c r="E326" s="15">
        <f t="shared" si="73"/>
        <v>8885</v>
      </c>
      <c r="F326" s="13"/>
      <c r="G326" s="14">
        <v>71.41</v>
      </c>
      <c r="H326" s="15">
        <f t="shared" si="74"/>
        <v>10711.5</v>
      </c>
      <c r="I326" s="16">
        <f t="shared" si="75"/>
        <v>1826.5</v>
      </c>
      <c r="J326" s="122">
        <f t="shared" si="78"/>
        <v>0.2055711873944851</v>
      </c>
      <c r="K326" s="95" t="s">
        <v>82</v>
      </c>
      <c r="L326" s="97">
        <v>62.12</v>
      </c>
      <c r="M326" s="41">
        <f t="shared" si="77"/>
        <v>55.0188</v>
      </c>
      <c r="N326" s="118">
        <v>77.93</v>
      </c>
      <c r="O326" s="116"/>
      <c r="P326" s="116" t="s">
        <v>80</v>
      </c>
      <c r="Q326" s="117"/>
      <c r="R326" s="118"/>
      <c r="S326" s="117"/>
      <c r="T326" s="116"/>
      <c r="V326" s="131"/>
    </row>
    <row r="327" spans="1:22" s="114" customFormat="1" ht="15">
      <c r="A327" s="12" t="s">
        <v>80</v>
      </c>
      <c r="B327" s="65">
        <v>42012.29305555556</v>
      </c>
      <c r="C327" s="14">
        <v>60.3</v>
      </c>
      <c r="D327" s="15">
        <v>100</v>
      </c>
      <c r="E327" s="15">
        <f t="shared" si="73"/>
        <v>6041</v>
      </c>
      <c r="F327" s="13"/>
      <c r="G327" s="14">
        <v>71.41</v>
      </c>
      <c r="H327" s="15">
        <f t="shared" si="74"/>
        <v>7141</v>
      </c>
      <c r="I327" s="16">
        <f t="shared" si="75"/>
        <v>1100</v>
      </c>
      <c r="J327" s="19">
        <f t="shared" si="78"/>
        <v>0.18208905810296308</v>
      </c>
      <c r="K327" s="95" t="s">
        <v>83</v>
      </c>
      <c r="L327" s="97">
        <v>62.12</v>
      </c>
      <c r="M327" s="41">
        <f t="shared" si="77"/>
        <v>56.079</v>
      </c>
      <c r="N327" s="118">
        <v>77.93</v>
      </c>
      <c r="O327" s="116"/>
      <c r="P327" s="116" t="s">
        <v>80</v>
      </c>
      <c r="Q327" s="117"/>
      <c r="R327" s="118"/>
      <c r="S327" s="117"/>
      <c r="T327" s="116"/>
      <c r="V327" s="131"/>
    </row>
    <row r="328" spans="1:22" s="114" customFormat="1" ht="15">
      <c r="A328" s="12" t="s">
        <v>80</v>
      </c>
      <c r="B328" s="65">
        <v>42047.271527777775</v>
      </c>
      <c r="C328" s="14">
        <v>64.65</v>
      </c>
      <c r="D328" s="15">
        <v>100</v>
      </c>
      <c r="E328" s="15">
        <f t="shared" si="73"/>
        <v>6476.000000000001</v>
      </c>
      <c r="F328" s="13"/>
      <c r="G328" s="14">
        <v>71.41</v>
      </c>
      <c r="H328" s="15">
        <f t="shared" si="74"/>
        <v>7141</v>
      </c>
      <c r="I328" s="16">
        <f t="shared" si="75"/>
        <v>664.9999999999991</v>
      </c>
      <c r="J328" s="19">
        <f t="shared" si="78"/>
        <v>0.10268684373069781</v>
      </c>
      <c r="K328" s="95" t="s">
        <v>132</v>
      </c>
      <c r="L328" s="97">
        <v>62.12</v>
      </c>
      <c r="M328" s="41">
        <f t="shared" si="77"/>
        <v>60.12450000000001</v>
      </c>
      <c r="N328" s="118">
        <v>77.93</v>
      </c>
      <c r="O328" s="116"/>
      <c r="P328" s="116" t="s">
        <v>80</v>
      </c>
      <c r="Q328" s="117"/>
      <c r="R328" s="118"/>
      <c r="S328" s="117"/>
      <c r="T328" s="116"/>
      <c r="V328" s="131"/>
    </row>
    <row r="329" spans="1:22" s="114" customFormat="1" ht="15">
      <c r="A329" s="12" t="s">
        <v>80</v>
      </c>
      <c r="B329" s="65">
        <v>42081.34097222222</v>
      </c>
      <c r="C329" s="14">
        <v>70</v>
      </c>
      <c r="D329" s="15">
        <v>120</v>
      </c>
      <c r="E329" s="15">
        <f t="shared" si="73"/>
        <v>8411</v>
      </c>
      <c r="F329" s="13"/>
      <c r="G329" s="14">
        <v>71.41</v>
      </c>
      <c r="H329" s="15">
        <f t="shared" si="74"/>
        <v>8569.199999999999</v>
      </c>
      <c r="I329" s="16">
        <f t="shared" si="75"/>
        <v>158.1999999999989</v>
      </c>
      <c r="J329" s="19">
        <f t="shared" si="78"/>
        <v>0.018808702889073704</v>
      </c>
      <c r="K329" s="95" t="s">
        <v>181</v>
      </c>
      <c r="L329" s="97"/>
      <c r="M329" s="20">
        <f t="shared" si="77"/>
        <v>65.10000000000001</v>
      </c>
      <c r="N329" s="118">
        <v>77.93</v>
      </c>
      <c r="O329" s="116"/>
      <c r="P329" s="116" t="s">
        <v>80</v>
      </c>
      <c r="Q329" s="117"/>
      <c r="R329" s="118"/>
      <c r="S329" s="117"/>
      <c r="T329" s="116"/>
      <c r="V329" s="131"/>
    </row>
    <row r="330" spans="1:20" s="114" customFormat="1" ht="15">
      <c r="A330" s="12" t="s">
        <v>73</v>
      </c>
      <c r="B330" s="65">
        <v>42017.27847222222</v>
      </c>
      <c r="C330" s="14">
        <v>21.2</v>
      </c>
      <c r="D330" s="15">
        <v>680</v>
      </c>
      <c r="E330" s="15">
        <f t="shared" si="73"/>
        <v>14427</v>
      </c>
      <c r="F330" s="13"/>
      <c r="G330" s="14">
        <v>26.3</v>
      </c>
      <c r="H330" s="15">
        <f t="shared" si="74"/>
        <v>17884</v>
      </c>
      <c r="I330" s="16">
        <f t="shared" si="75"/>
        <v>3457</v>
      </c>
      <c r="J330" s="19">
        <f t="shared" si="78"/>
        <v>0.23962015665072434</v>
      </c>
      <c r="K330" s="132" t="s">
        <v>171</v>
      </c>
      <c r="L330" s="119">
        <v>22.63</v>
      </c>
      <c r="M330" s="41">
        <f t="shared" si="77"/>
        <v>19.716</v>
      </c>
      <c r="N330" s="118">
        <v>26.43</v>
      </c>
      <c r="O330" s="121">
        <f>WORKDAY(B330,40,'Weekly Summary'!P$2:P$10)</f>
        <v>42075</v>
      </c>
      <c r="P330" s="116" t="s">
        <v>73</v>
      </c>
      <c r="Q330" s="117">
        <v>26.47</v>
      </c>
      <c r="R330" s="118">
        <f>Q330*0.855</f>
        <v>22.63185</v>
      </c>
      <c r="S330" s="117">
        <f>1.11*C330</f>
        <v>23.532</v>
      </c>
      <c r="T330" s="116"/>
    </row>
    <row r="331" spans="1:20" s="114" customFormat="1" ht="15">
      <c r="A331" s="12" t="s">
        <v>73</v>
      </c>
      <c r="B331" s="65">
        <v>42020.5375</v>
      </c>
      <c r="C331" s="14">
        <v>21.73</v>
      </c>
      <c r="D331" s="15">
        <v>400</v>
      </c>
      <c r="E331" s="15">
        <f t="shared" si="73"/>
        <v>8703</v>
      </c>
      <c r="F331" s="13"/>
      <c r="G331" s="14">
        <v>26.3</v>
      </c>
      <c r="H331" s="15">
        <f t="shared" si="74"/>
        <v>10520</v>
      </c>
      <c r="I331" s="16">
        <f t="shared" si="75"/>
        <v>1817</v>
      </c>
      <c r="J331" s="19">
        <f t="shared" si="78"/>
        <v>0.20877858209812708</v>
      </c>
      <c r="K331" s="95" t="s">
        <v>119</v>
      </c>
      <c r="L331" s="119">
        <v>22.63</v>
      </c>
      <c r="M331" s="41">
        <f t="shared" si="77"/>
        <v>20.2089</v>
      </c>
      <c r="N331" s="118">
        <v>26.43</v>
      </c>
      <c r="O331" s="116"/>
      <c r="P331" s="116" t="s">
        <v>73</v>
      </c>
      <c r="Q331" s="117"/>
      <c r="R331" s="118"/>
      <c r="S331" s="117"/>
      <c r="T331" s="116"/>
    </row>
    <row r="332" spans="1:20" s="114" customFormat="1" ht="15">
      <c r="A332" s="12" t="s">
        <v>73</v>
      </c>
      <c r="B332" s="65">
        <v>42024.39791666667</v>
      </c>
      <c r="C332" s="14">
        <v>22.2</v>
      </c>
      <c r="D332" s="15">
        <v>260</v>
      </c>
      <c r="E332" s="15">
        <f t="shared" si="73"/>
        <v>5783</v>
      </c>
      <c r="F332" s="13"/>
      <c r="G332" s="14">
        <v>26.3</v>
      </c>
      <c r="H332" s="15">
        <f t="shared" si="74"/>
        <v>6838</v>
      </c>
      <c r="I332" s="16">
        <f t="shared" si="75"/>
        <v>1055</v>
      </c>
      <c r="J332" s="19">
        <f t="shared" si="78"/>
        <v>0.18243126404980115</v>
      </c>
      <c r="K332" s="95" t="s">
        <v>118</v>
      </c>
      <c r="L332" s="119">
        <v>22.63</v>
      </c>
      <c r="M332" s="41">
        <f t="shared" si="77"/>
        <v>20.646</v>
      </c>
      <c r="N332" s="118">
        <v>26.43</v>
      </c>
      <c r="O332" s="116"/>
      <c r="P332" s="116" t="s">
        <v>73</v>
      </c>
      <c r="Q332" s="117"/>
      <c r="R332" s="118"/>
      <c r="S332" s="117"/>
      <c r="T332" s="116"/>
    </row>
    <row r="333" spans="1:20" s="114" customFormat="1" ht="15">
      <c r="A333" s="12" t="s">
        <v>73</v>
      </c>
      <c r="B333" s="65">
        <v>42364.27222222222</v>
      </c>
      <c r="C333" s="14">
        <v>23.5</v>
      </c>
      <c r="D333" s="15">
        <v>260</v>
      </c>
      <c r="E333" s="15">
        <f t="shared" si="73"/>
        <v>6121</v>
      </c>
      <c r="F333" s="13"/>
      <c r="G333" s="14">
        <v>26.3</v>
      </c>
      <c r="H333" s="15">
        <f t="shared" si="74"/>
        <v>6838</v>
      </c>
      <c r="I333" s="16">
        <f t="shared" si="75"/>
        <v>717</v>
      </c>
      <c r="J333" s="19">
        <f t="shared" si="78"/>
        <v>0.11713772259434733</v>
      </c>
      <c r="K333" s="95" t="s">
        <v>147</v>
      </c>
      <c r="L333" s="119">
        <v>22.63</v>
      </c>
      <c r="M333" s="41">
        <f t="shared" si="77"/>
        <v>21.855</v>
      </c>
      <c r="N333" s="118">
        <v>26.43</v>
      </c>
      <c r="O333" s="116"/>
      <c r="P333" s="116" t="s">
        <v>73</v>
      </c>
      <c r="Q333" s="117"/>
      <c r="R333" s="118"/>
      <c r="S333" s="117"/>
      <c r="T333" s="116"/>
    </row>
    <row r="334" spans="1:20" s="114" customFormat="1" ht="15">
      <c r="A334" s="12" t="s">
        <v>61</v>
      </c>
      <c r="B334" s="65">
        <v>42040.27847222222</v>
      </c>
      <c r="C334" s="14">
        <v>132.85</v>
      </c>
      <c r="D334" s="15">
        <v>110</v>
      </c>
      <c r="E334" s="15">
        <f t="shared" si="73"/>
        <v>14624.5</v>
      </c>
      <c r="F334" s="13"/>
      <c r="G334" s="14">
        <v>152.02</v>
      </c>
      <c r="H334" s="15">
        <f t="shared" si="74"/>
        <v>16722.2</v>
      </c>
      <c r="I334" s="16">
        <f t="shared" si="75"/>
        <v>2097.7000000000007</v>
      </c>
      <c r="J334" s="19">
        <f t="shared" si="78"/>
        <v>0.14343738247461457</v>
      </c>
      <c r="K334" s="95" t="s">
        <v>134</v>
      </c>
      <c r="L334" s="119">
        <v>133.38</v>
      </c>
      <c r="M334" s="41">
        <f t="shared" si="77"/>
        <v>123.5505</v>
      </c>
      <c r="N334" s="118">
        <v>168.13</v>
      </c>
      <c r="O334" s="121">
        <v>42086</v>
      </c>
      <c r="P334" s="116" t="s">
        <v>61</v>
      </c>
      <c r="Q334" s="117">
        <v>156</v>
      </c>
      <c r="R334" s="118">
        <f>Q334*0.855</f>
        <v>133.38</v>
      </c>
      <c r="S334" s="117">
        <f>1.11*C334</f>
        <v>147.4635</v>
      </c>
      <c r="T334" s="116"/>
    </row>
    <row r="335" spans="1:20" s="114" customFormat="1" ht="15">
      <c r="A335" s="12" t="s">
        <v>61</v>
      </c>
      <c r="B335" s="65">
        <v>42045.27291666667</v>
      </c>
      <c r="C335" s="14">
        <v>135.9</v>
      </c>
      <c r="D335" s="15">
        <v>65</v>
      </c>
      <c r="E335" s="15">
        <f t="shared" si="73"/>
        <v>8844.5</v>
      </c>
      <c r="F335" s="13"/>
      <c r="G335" s="14">
        <v>152.02</v>
      </c>
      <c r="H335" s="15">
        <f t="shared" si="74"/>
        <v>9881.300000000001</v>
      </c>
      <c r="I335" s="16">
        <f t="shared" si="75"/>
        <v>1036.800000000001</v>
      </c>
      <c r="J335" s="19">
        <f t="shared" si="78"/>
        <v>0.11722539431284992</v>
      </c>
      <c r="K335" s="95" t="s">
        <v>141</v>
      </c>
      <c r="L335" s="119">
        <v>133.38</v>
      </c>
      <c r="M335" s="41">
        <f t="shared" si="77"/>
        <v>126.38700000000001</v>
      </c>
      <c r="N335" s="118">
        <v>168.13</v>
      </c>
      <c r="O335" s="116"/>
      <c r="P335" s="116" t="s">
        <v>61</v>
      </c>
      <c r="Q335" s="117"/>
      <c r="R335" s="118"/>
      <c r="S335" s="117"/>
      <c r="T335" s="116"/>
    </row>
    <row r="336" spans="1:20" s="114" customFormat="1" ht="15">
      <c r="A336" s="12" t="s">
        <v>61</v>
      </c>
      <c r="B336" s="65">
        <v>42054.277083333334</v>
      </c>
      <c r="C336" s="14">
        <v>139.17</v>
      </c>
      <c r="D336" s="15">
        <v>40</v>
      </c>
      <c r="E336" s="15">
        <f t="shared" si="73"/>
        <v>5577.799999999999</v>
      </c>
      <c r="F336" s="13"/>
      <c r="G336" s="14">
        <v>152.02</v>
      </c>
      <c r="H336" s="15">
        <f t="shared" si="74"/>
        <v>6080.8</v>
      </c>
      <c r="I336" s="16">
        <f t="shared" si="75"/>
        <v>503.0000000000009</v>
      </c>
      <c r="J336" s="19">
        <f t="shared" si="78"/>
        <v>0.09017892358994603</v>
      </c>
      <c r="K336" s="95" t="s">
        <v>140</v>
      </c>
      <c r="L336" s="119">
        <v>133.38</v>
      </c>
      <c r="M336" s="41">
        <f t="shared" si="77"/>
        <v>129.4281</v>
      </c>
      <c r="N336" s="118">
        <v>168.13</v>
      </c>
      <c r="O336" s="116"/>
      <c r="P336" s="116" t="s">
        <v>61</v>
      </c>
      <c r="Q336" s="117"/>
      <c r="R336" s="118"/>
      <c r="S336" s="117"/>
      <c r="T336" s="116"/>
    </row>
    <row r="337" spans="1:20" s="114" customFormat="1" ht="15">
      <c r="A337" s="12" t="s">
        <v>61</v>
      </c>
      <c r="B337" s="65">
        <v>42075.56458333333</v>
      </c>
      <c r="C337" s="14">
        <v>154</v>
      </c>
      <c r="D337" s="15">
        <v>40</v>
      </c>
      <c r="E337" s="15">
        <f t="shared" si="73"/>
        <v>6171</v>
      </c>
      <c r="F337" s="13"/>
      <c r="G337" s="14">
        <v>152.02</v>
      </c>
      <c r="H337" s="15">
        <f t="shared" si="74"/>
        <v>6080.8</v>
      </c>
      <c r="I337" s="16">
        <f t="shared" si="75"/>
        <v>-90.19999999999982</v>
      </c>
      <c r="J337" s="19">
        <f t="shared" si="78"/>
        <v>-0.014616755793226351</v>
      </c>
      <c r="K337" s="95" t="s">
        <v>160</v>
      </c>
      <c r="L337" s="119"/>
      <c r="M337" s="20">
        <f t="shared" si="77"/>
        <v>143.22</v>
      </c>
      <c r="N337" s="118">
        <v>168.13</v>
      </c>
      <c r="O337" s="116"/>
      <c r="P337" s="116" t="s">
        <v>61</v>
      </c>
      <c r="Q337" s="117"/>
      <c r="R337" s="118"/>
      <c r="S337" s="117"/>
      <c r="T337" s="116"/>
    </row>
    <row r="338" spans="1:20" s="114" customFormat="1" ht="15">
      <c r="A338" s="12" t="s">
        <v>52</v>
      </c>
      <c r="B338" s="65">
        <v>42046.27361111111</v>
      </c>
      <c r="C338" s="14">
        <v>129.75</v>
      </c>
      <c r="D338" s="15">
        <v>80</v>
      </c>
      <c r="E338" s="15">
        <f t="shared" si="73"/>
        <v>10391</v>
      </c>
      <c r="F338" s="65"/>
      <c r="G338" s="14">
        <v>144.08</v>
      </c>
      <c r="H338" s="15">
        <f t="shared" si="74"/>
        <v>11526.400000000001</v>
      </c>
      <c r="I338" s="16">
        <f t="shared" si="75"/>
        <v>1135.4000000000015</v>
      </c>
      <c r="J338" s="19">
        <f t="shared" si="78"/>
        <v>0.1092676354537582</v>
      </c>
      <c r="K338" s="95" t="s">
        <v>135</v>
      </c>
      <c r="L338" s="119">
        <v>127.69</v>
      </c>
      <c r="M338" s="41">
        <f t="shared" si="77"/>
        <v>120.6675</v>
      </c>
      <c r="N338" s="118">
        <v>161.78</v>
      </c>
      <c r="O338" s="121">
        <f>WORKDAY(B338,40,'Weekly Summary'!P$2:P$10)</f>
        <v>42104</v>
      </c>
      <c r="P338" s="116" t="s">
        <v>52</v>
      </c>
      <c r="Q338" s="117">
        <v>149.35</v>
      </c>
      <c r="R338" s="118">
        <f>Q338*0.855</f>
        <v>127.69425</v>
      </c>
      <c r="S338" s="117">
        <f>1.11*C338</f>
        <v>144.0225</v>
      </c>
      <c r="T338" s="116"/>
    </row>
    <row r="339" spans="1:20" s="114" customFormat="1" ht="15">
      <c r="A339" s="12" t="s">
        <v>52</v>
      </c>
      <c r="B339" s="65">
        <v>42047.275</v>
      </c>
      <c r="C339" s="14">
        <v>133.95</v>
      </c>
      <c r="D339" s="15">
        <v>45</v>
      </c>
      <c r="E339" s="15">
        <f t="shared" si="73"/>
        <v>6038.749999999999</v>
      </c>
      <c r="F339" s="13"/>
      <c r="G339" s="14">
        <v>144.08</v>
      </c>
      <c r="H339" s="15">
        <f t="shared" si="74"/>
        <v>6483.6</v>
      </c>
      <c r="I339" s="16">
        <f t="shared" si="75"/>
        <v>444.8500000000013</v>
      </c>
      <c r="J339" s="19">
        <f t="shared" si="78"/>
        <v>0.07366590767956967</v>
      </c>
      <c r="K339" s="95" t="s">
        <v>136</v>
      </c>
      <c r="L339" s="119">
        <v>127.69</v>
      </c>
      <c r="M339" s="41">
        <f t="shared" si="77"/>
        <v>124.5735</v>
      </c>
      <c r="N339" s="118">
        <v>161.78</v>
      </c>
      <c r="O339" s="116"/>
      <c r="P339" s="116" t="s">
        <v>52</v>
      </c>
      <c r="Q339" s="117"/>
      <c r="R339" s="118"/>
      <c r="S339" s="117"/>
      <c r="T339" s="116"/>
    </row>
    <row r="340" spans="1:20" s="114" customFormat="1" ht="15">
      <c r="A340" s="12" t="s">
        <v>52</v>
      </c>
      <c r="B340" s="65">
        <v>42048.450694444444</v>
      </c>
      <c r="C340" s="14">
        <v>135.8</v>
      </c>
      <c r="D340" s="15">
        <v>30</v>
      </c>
      <c r="E340" s="15">
        <f t="shared" si="73"/>
        <v>4085.0000000000005</v>
      </c>
      <c r="F340" s="13"/>
      <c r="G340" s="14">
        <v>144.08</v>
      </c>
      <c r="H340" s="15">
        <f t="shared" si="74"/>
        <v>4322.400000000001</v>
      </c>
      <c r="I340" s="16">
        <f t="shared" si="75"/>
        <v>237.4000000000001</v>
      </c>
      <c r="J340" s="19">
        <f t="shared" si="78"/>
        <v>0.05811505507955938</v>
      </c>
      <c r="K340" s="95" t="s">
        <v>143</v>
      </c>
      <c r="L340" s="119">
        <v>127.69</v>
      </c>
      <c r="M340" s="41">
        <f t="shared" si="77"/>
        <v>126.29400000000001</v>
      </c>
      <c r="N340" s="118">
        <v>161.78</v>
      </c>
      <c r="O340" s="116"/>
      <c r="P340" s="116" t="s">
        <v>52</v>
      </c>
      <c r="Q340" s="117"/>
      <c r="R340" s="118"/>
      <c r="S340" s="117"/>
      <c r="T340" s="116"/>
    </row>
    <row r="341" spans="1:20" s="114" customFormat="1" ht="15">
      <c r="A341" s="12" t="s">
        <v>52</v>
      </c>
      <c r="B341" s="65">
        <v>42074.29027777778</v>
      </c>
      <c r="C341" s="14">
        <v>140.55</v>
      </c>
      <c r="D341" s="15">
        <v>30</v>
      </c>
      <c r="E341" s="15">
        <f t="shared" si="73"/>
        <v>4227.5</v>
      </c>
      <c r="F341" s="13"/>
      <c r="G341" s="14">
        <v>144.08</v>
      </c>
      <c r="H341" s="15">
        <f t="shared" si="74"/>
        <v>4322.400000000001</v>
      </c>
      <c r="I341" s="16">
        <f t="shared" si="75"/>
        <v>94.90000000000055</v>
      </c>
      <c r="J341" s="19">
        <f t="shared" si="78"/>
        <v>0.022448255470136142</v>
      </c>
      <c r="K341" s="95" t="s">
        <v>182</v>
      </c>
      <c r="L341" s="119"/>
      <c r="M341" s="20">
        <f t="shared" si="77"/>
        <v>130.71150000000003</v>
      </c>
      <c r="N341" s="118">
        <v>161.78</v>
      </c>
      <c r="O341" s="116"/>
      <c r="P341" s="116" t="s">
        <v>52</v>
      </c>
      <c r="Q341" s="117"/>
      <c r="R341" s="118"/>
      <c r="S341" s="117"/>
      <c r="T341" s="116"/>
    </row>
    <row r="342" spans="1:20" s="114" customFormat="1" ht="15">
      <c r="A342" s="12" t="s">
        <v>39</v>
      </c>
      <c r="B342" s="65">
        <v>42062.53680555556</v>
      </c>
      <c r="C342" s="14">
        <v>57.65</v>
      </c>
      <c r="D342" s="15">
        <v>100</v>
      </c>
      <c r="E342" s="15">
        <f t="shared" si="73"/>
        <v>5776</v>
      </c>
      <c r="F342" s="13"/>
      <c r="G342" s="14">
        <v>72.39</v>
      </c>
      <c r="H342" s="15">
        <f t="shared" si="74"/>
        <v>7239</v>
      </c>
      <c r="I342" s="16">
        <f t="shared" si="75"/>
        <v>1463</v>
      </c>
      <c r="J342" s="19">
        <f t="shared" si="78"/>
        <v>0.2532894736842105</v>
      </c>
      <c r="K342" s="95" t="s">
        <v>149</v>
      </c>
      <c r="L342" s="119">
        <v>62.42</v>
      </c>
      <c r="M342" s="41">
        <f t="shared" si="77"/>
        <v>53.6145</v>
      </c>
      <c r="N342" s="118">
        <v>79</v>
      </c>
      <c r="O342" s="121">
        <v>42124</v>
      </c>
      <c r="P342" s="116" t="s">
        <v>39</v>
      </c>
      <c r="Q342" s="117">
        <v>73</v>
      </c>
      <c r="R342" s="118">
        <f>Q342*0.855</f>
        <v>62.415</v>
      </c>
      <c r="S342" s="117">
        <f>1.11*C342</f>
        <v>63.9915</v>
      </c>
      <c r="T342" s="116"/>
    </row>
    <row r="343" spans="1:20" s="114" customFormat="1" ht="15">
      <c r="A343" s="12" t="s">
        <v>39</v>
      </c>
      <c r="B343" s="65">
        <v>42073.322916666664</v>
      </c>
      <c r="C343" s="14">
        <v>65.15</v>
      </c>
      <c r="D343" s="15">
        <v>350</v>
      </c>
      <c r="E343" s="15">
        <f t="shared" si="73"/>
        <v>22813.500000000004</v>
      </c>
      <c r="F343" s="13"/>
      <c r="G343" s="14">
        <v>72.39</v>
      </c>
      <c r="H343" s="15">
        <f t="shared" si="74"/>
        <v>25336.5</v>
      </c>
      <c r="I343" s="16">
        <f t="shared" si="75"/>
        <v>2522.9999999999964</v>
      </c>
      <c r="J343" s="19">
        <f t="shared" si="78"/>
        <v>0.11059241238740201</v>
      </c>
      <c r="K343" s="95" t="s">
        <v>164</v>
      </c>
      <c r="L343" s="119">
        <v>62.42</v>
      </c>
      <c r="M343" s="41">
        <f t="shared" si="77"/>
        <v>60.58950000000001</v>
      </c>
      <c r="N343" s="118">
        <v>79</v>
      </c>
      <c r="O343" s="116"/>
      <c r="P343" s="116" t="s">
        <v>39</v>
      </c>
      <c r="Q343" s="117"/>
      <c r="R343" s="118"/>
      <c r="S343" s="117"/>
      <c r="T343" s="116"/>
    </row>
    <row r="344" spans="1:20" s="114" customFormat="1" ht="15">
      <c r="A344" s="12" t="s">
        <v>39</v>
      </c>
      <c r="B344" s="65">
        <v>42073.35555555556</v>
      </c>
      <c r="C344" s="14">
        <v>66.15</v>
      </c>
      <c r="D344" s="15">
        <v>110</v>
      </c>
      <c r="E344" s="15">
        <f t="shared" si="73"/>
        <v>7287.500000000001</v>
      </c>
      <c r="F344" s="13"/>
      <c r="G344" s="14">
        <v>72.39</v>
      </c>
      <c r="H344" s="15">
        <f t="shared" si="74"/>
        <v>7962.9</v>
      </c>
      <c r="I344" s="16">
        <f t="shared" si="75"/>
        <v>675.3999999999987</v>
      </c>
      <c r="J344" s="19">
        <f t="shared" si="78"/>
        <v>0.09267924528301869</v>
      </c>
      <c r="K344" s="95" t="s">
        <v>165</v>
      </c>
      <c r="L344" s="119">
        <v>62.42</v>
      </c>
      <c r="M344" s="41">
        <f t="shared" si="77"/>
        <v>61.51950000000001</v>
      </c>
      <c r="N344" s="118">
        <v>79</v>
      </c>
      <c r="O344" s="116"/>
      <c r="P344" s="116" t="s">
        <v>39</v>
      </c>
      <c r="Q344" s="117"/>
      <c r="R344" s="118"/>
      <c r="S344" s="117"/>
      <c r="T344" s="116"/>
    </row>
    <row r="345" spans="1:20" s="114" customFormat="1" ht="15">
      <c r="A345" s="12" t="s">
        <v>169</v>
      </c>
      <c r="B345" s="65">
        <v>42076.538194444445</v>
      </c>
      <c r="C345" s="14">
        <v>56.64</v>
      </c>
      <c r="D345" s="15">
        <v>320</v>
      </c>
      <c r="E345" s="15">
        <f t="shared" si="73"/>
        <v>18135.8</v>
      </c>
      <c r="F345" s="13"/>
      <c r="G345" s="14">
        <v>58.05</v>
      </c>
      <c r="H345" s="15">
        <f t="shared" si="74"/>
        <v>18576</v>
      </c>
      <c r="I345" s="16">
        <f t="shared" si="75"/>
        <v>440.2000000000007</v>
      </c>
      <c r="J345" s="19">
        <f t="shared" si="78"/>
        <v>0.024272433529262605</v>
      </c>
      <c r="K345" s="95" t="s">
        <v>170</v>
      </c>
      <c r="L345" s="119"/>
      <c r="M345" s="20">
        <f t="shared" si="77"/>
        <v>52.675200000000004</v>
      </c>
      <c r="N345" s="118">
        <v>71.25</v>
      </c>
      <c r="O345" s="121">
        <v>42132</v>
      </c>
      <c r="P345" s="116" t="s">
        <v>169</v>
      </c>
      <c r="Q345" s="117"/>
      <c r="R345" s="118"/>
      <c r="S345" s="117">
        <f>1.11*C345</f>
        <v>62.870400000000004</v>
      </c>
      <c r="T345" s="116"/>
    </row>
    <row r="346" spans="1:20" s="114" customFormat="1" ht="15">
      <c r="A346" s="85" t="s">
        <v>169</v>
      </c>
      <c r="B346" s="65">
        <v>42082.302777777775</v>
      </c>
      <c r="C346" s="14">
        <v>57.9</v>
      </c>
      <c r="D346" s="15">
        <v>190</v>
      </c>
      <c r="E346" s="15">
        <f t="shared" si="73"/>
        <v>11012</v>
      </c>
      <c r="F346" s="13"/>
      <c r="G346" s="14">
        <v>58.05</v>
      </c>
      <c r="H346" s="15">
        <f t="shared" si="74"/>
        <v>11029.5</v>
      </c>
      <c r="I346" s="16">
        <f t="shared" si="75"/>
        <v>17.5</v>
      </c>
      <c r="J346" s="19">
        <f t="shared" si="78"/>
        <v>0.0015891754449691247</v>
      </c>
      <c r="K346" s="95" t="s">
        <v>189</v>
      </c>
      <c r="L346" s="119"/>
      <c r="M346" s="20">
        <f t="shared" si="77"/>
        <v>53.847</v>
      </c>
      <c r="N346" s="118">
        <v>71.25</v>
      </c>
      <c r="O346" s="116"/>
      <c r="P346" s="116" t="s">
        <v>169</v>
      </c>
      <c r="Q346" s="117"/>
      <c r="R346" s="118"/>
      <c r="S346" s="117"/>
      <c r="T346" s="116"/>
    </row>
    <row r="347" spans="1:20" s="114" customFormat="1" ht="15">
      <c r="A347" s="85" t="s">
        <v>45</v>
      </c>
      <c r="B347" s="65">
        <v>42080.325694444444</v>
      </c>
      <c r="C347" s="14">
        <v>20.12</v>
      </c>
      <c r="D347" s="15">
        <v>1000</v>
      </c>
      <c r="E347" s="15">
        <f t="shared" si="73"/>
        <v>20131</v>
      </c>
      <c r="F347" s="13"/>
      <c r="G347" s="14">
        <v>22.07</v>
      </c>
      <c r="H347" s="15">
        <f t="shared" si="74"/>
        <v>22070</v>
      </c>
      <c r="I347" s="16">
        <f t="shared" si="75"/>
        <v>1939</v>
      </c>
      <c r="J347" s="19">
        <f t="shared" si="78"/>
        <v>0.09631910983060951</v>
      </c>
      <c r="K347" s="95" t="s">
        <v>186</v>
      </c>
      <c r="L347" s="119"/>
      <c r="M347" s="20">
        <f t="shared" si="77"/>
        <v>18.7116</v>
      </c>
      <c r="N347" s="118">
        <v>29.23</v>
      </c>
      <c r="O347" s="121">
        <v>42159</v>
      </c>
      <c r="P347" s="116" t="s">
        <v>45</v>
      </c>
      <c r="Q347" s="117"/>
      <c r="R347" s="118"/>
      <c r="S347" s="117">
        <f>1.11*C347</f>
        <v>22.3332</v>
      </c>
      <c r="T347" s="116"/>
    </row>
    <row r="348" spans="1:20" s="114" customFormat="1" ht="15">
      <c r="A348" s="85" t="s">
        <v>45</v>
      </c>
      <c r="B348" s="65">
        <v>42081.30972222222</v>
      </c>
      <c r="C348" s="14">
        <v>21.46</v>
      </c>
      <c r="D348" s="15">
        <v>500</v>
      </c>
      <c r="E348" s="15">
        <f t="shared" si="73"/>
        <v>10741</v>
      </c>
      <c r="F348" s="13"/>
      <c r="G348" s="14">
        <v>22.07</v>
      </c>
      <c r="H348" s="15">
        <f t="shared" si="74"/>
        <v>11035</v>
      </c>
      <c r="I348" s="16">
        <f t="shared" si="75"/>
        <v>294</v>
      </c>
      <c r="J348" s="19">
        <f t="shared" si="78"/>
        <v>0.027371753095614935</v>
      </c>
      <c r="K348" s="95" t="s">
        <v>187</v>
      </c>
      <c r="L348" s="119"/>
      <c r="M348" s="20">
        <f t="shared" si="77"/>
        <v>19.957800000000002</v>
      </c>
      <c r="N348" s="118">
        <v>29.23</v>
      </c>
      <c r="O348" s="116"/>
      <c r="P348" s="116" t="s">
        <v>45</v>
      </c>
      <c r="Q348" s="117"/>
      <c r="R348" s="118"/>
      <c r="S348" s="117"/>
      <c r="T348" s="116"/>
    </row>
    <row r="349" spans="1:20" s="114" customFormat="1" ht="15">
      <c r="A349" s="85" t="s">
        <v>45</v>
      </c>
      <c r="B349" s="65">
        <v>42082.32986111111</v>
      </c>
      <c r="C349" s="14">
        <v>23.1</v>
      </c>
      <c r="D349" s="15">
        <v>780</v>
      </c>
      <c r="E349" s="15">
        <f t="shared" si="73"/>
        <v>18029</v>
      </c>
      <c r="F349" s="13"/>
      <c r="G349" s="14">
        <v>22.94</v>
      </c>
      <c r="H349" s="15">
        <f t="shared" si="74"/>
        <v>17893.2</v>
      </c>
      <c r="I349" s="16">
        <f t="shared" si="75"/>
        <v>-135.79999999999927</v>
      </c>
      <c r="J349" s="19">
        <f t="shared" si="78"/>
        <v>-0.0075323090576293345</v>
      </c>
      <c r="K349" s="95" t="s">
        <v>188</v>
      </c>
      <c r="L349" s="119"/>
      <c r="M349" s="20">
        <f t="shared" si="77"/>
        <v>21.483000000000004</v>
      </c>
      <c r="N349" s="118">
        <v>29.23</v>
      </c>
      <c r="O349" s="116"/>
      <c r="P349" s="116" t="s">
        <v>45</v>
      </c>
      <c r="Q349" s="117"/>
      <c r="R349" s="118"/>
      <c r="S349" s="117"/>
      <c r="T349" s="116"/>
    </row>
    <row r="350" spans="1:20" s="114" customFormat="1" ht="15">
      <c r="A350" s="85" t="s">
        <v>43</v>
      </c>
      <c r="B350" s="65">
        <v>42082.464583333334</v>
      </c>
      <c r="C350" s="14">
        <v>125</v>
      </c>
      <c r="D350" s="15">
        <v>160</v>
      </c>
      <c r="E350" s="15">
        <f t="shared" si="73"/>
        <v>20011</v>
      </c>
      <c r="F350" s="13"/>
      <c r="G350" s="14">
        <v>125.33</v>
      </c>
      <c r="H350" s="15">
        <f t="shared" si="74"/>
        <v>20052.8</v>
      </c>
      <c r="I350" s="16">
        <f t="shared" si="75"/>
        <v>41.79999999999927</v>
      </c>
      <c r="J350" s="19">
        <f t="shared" si="78"/>
        <v>0.002088851131877431</v>
      </c>
      <c r="K350" s="95" t="s">
        <v>191</v>
      </c>
      <c r="L350" s="119"/>
      <c r="M350" s="20">
        <f t="shared" si="77"/>
        <v>116.25</v>
      </c>
      <c r="N350" s="118">
        <v>156.81</v>
      </c>
      <c r="O350" s="116"/>
      <c r="P350" s="116" t="s">
        <v>43</v>
      </c>
      <c r="Q350" s="117"/>
      <c r="R350" s="118"/>
      <c r="S350" s="117">
        <f>1.11*C350</f>
        <v>138.75</v>
      </c>
      <c r="T350" s="116"/>
    </row>
    <row r="351" spans="1:20" s="114" customFormat="1" ht="15">
      <c r="A351" s="12"/>
      <c r="B351" s="13"/>
      <c r="C351" s="14"/>
      <c r="D351" s="15"/>
      <c r="E351" s="15"/>
      <c r="F351" s="13"/>
      <c r="G351" s="14"/>
      <c r="H351" s="15"/>
      <c r="I351" s="16"/>
      <c r="J351" s="19"/>
      <c r="K351" s="95"/>
      <c r="L351" s="119"/>
      <c r="M351" s="32"/>
      <c r="N351" s="118"/>
      <c r="Q351" s="117"/>
      <c r="R351" s="117"/>
      <c r="S351" s="117"/>
      <c r="T351" s="116"/>
    </row>
    <row r="352" spans="1:20" s="114" customFormat="1" ht="15">
      <c r="A352" s="21" t="s">
        <v>14</v>
      </c>
      <c r="B352" s="22"/>
      <c r="C352" s="23"/>
      <c r="D352" s="24"/>
      <c r="E352" s="24">
        <f>SUM(E321:E351)</f>
        <v>308893.35</v>
      </c>
      <c r="F352" s="22"/>
      <c r="G352" s="23"/>
      <c r="H352" s="24">
        <f>SUM(H321:H351)</f>
        <v>342053.6</v>
      </c>
      <c r="I352" s="25">
        <f>SUM(I321:I351)</f>
        <v>33160.25</v>
      </c>
      <c r="J352" s="26">
        <f>I352/E352</f>
        <v>0.10735177691588375</v>
      </c>
      <c r="K352" s="27" t="s">
        <v>15</v>
      </c>
      <c r="L352" s="28">
        <f>100000+I354</f>
        <v>154922.31</v>
      </c>
      <c r="M352" s="81"/>
      <c r="N352" s="89"/>
      <c r="Q352" s="117"/>
      <c r="R352" s="117"/>
      <c r="S352" s="117"/>
      <c r="T352" s="116"/>
    </row>
    <row r="353" spans="1:20" s="114" customFormat="1" ht="15">
      <c r="A353" s="12" t="s">
        <v>67</v>
      </c>
      <c r="B353" s="22"/>
      <c r="C353" s="25">
        <f>I354-I316</f>
        <v>13893.599999999999</v>
      </c>
      <c r="D353" s="26">
        <f>C353/H314</f>
        <v>0.04690139418694932</v>
      </c>
      <c r="E353" s="24"/>
      <c r="F353" s="22" t="s">
        <v>16</v>
      </c>
      <c r="G353" s="117"/>
      <c r="H353" s="29" t="str">
        <f>IF(ABS(H352-E352-I352)&lt;1,"","ERROR")</f>
        <v/>
      </c>
      <c r="I353" s="30">
        <v>21762.06</v>
      </c>
      <c r="J353" s="26"/>
      <c r="K353" s="111" t="s">
        <v>17</v>
      </c>
      <c r="L353" s="28">
        <f>(2*(100000+I354))-E352</f>
        <v>951.2700000000186</v>
      </c>
      <c r="M353" s="31"/>
      <c r="Q353" s="117"/>
      <c r="R353" s="117"/>
      <c r="S353" s="117"/>
      <c r="T353" s="116"/>
    </row>
    <row r="354" spans="1:20" s="114" customFormat="1" ht="15">
      <c r="A354" s="12" t="s">
        <v>54</v>
      </c>
      <c r="B354" s="22"/>
      <c r="C354" s="25">
        <f>L352-L314</f>
        <v>13893.600000000006</v>
      </c>
      <c r="D354" s="26">
        <f>C354/L314</f>
        <v>0.09851611065576653</v>
      </c>
      <c r="E354" s="24"/>
      <c r="F354" s="22" t="s">
        <v>18</v>
      </c>
      <c r="G354" s="117"/>
      <c r="H354" s="29"/>
      <c r="I354" s="30">
        <f>I352+I353</f>
        <v>54922.31</v>
      </c>
      <c r="J354" s="26">
        <f>I354/100000</f>
        <v>0.5492231</v>
      </c>
      <c r="K354" s="111" t="s">
        <v>19</v>
      </c>
      <c r="L354" s="26">
        <f>E352/(2*(100000+I354))</f>
        <v>0.9969298482574911</v>
      </c>
      <c r="M354" s="31"/>
      <c r="Q354" s="117"/>
      <c r="R354" s="117"/>
      <c r="S354" s="117"/>
      <c r="T354" s="116"/>
    </row>
    <row r="355" spans="2:20" s="114" customFormat="1" ht="15">
      <c r="B355" s="22"/>
      <c r="C355" s="25"/>
      <c r="D355" s="26"/>
      <c r="E355" s="24"/>
      <c r="F355" s="22"/>
      <c r="G355" s="117"/>
      <c r="H355" s="29"/>
      <c r="I355" s="30"/>
      <c r="J355" s="26"/>
      <c r="K355" s="111"/>
      <c r="L355" s="26"/>
      <c r="M355" s="31"/>
      <c r="Q355" s="117"/>
      <c r="R355" s="117"/>
      <c r="S355" s="117"/>
      <c r="T355" s="116"/>
    </row>
    <row r="356" spans="1:20" s="114" customFormat="1" ht="15">
      <c r="A356" s="12"/>
      <c r="B356" s="22"/>
      <c r="C356" s="25"/>
      <c r="D356" s="26"/>
      <c r="E356" s="24"/>
      <c r="F356" s="22"/>
      <c r="G356" s="117"/>
      <c r="H356" s="29"/>
      <c r="I356" s="30"/>
      <c r="J356" s="26"/>
      <c r="K356" s="111"/>
      <c r="L356" s="26"/>
      <c r="M356" s="31"/>
      <c r="Q356" s="117"/>
      <c r="R356" s="117"/>
      <c r="S356" s="117"/>
      <c r="T356" s="116"/>
    </row>
    <row r="357" spans="1:20" s="114" customFormat="1" ht="30.75" customHeight="1">
      <c r="A357" s="130" t="s">
        <v>62</v>
      </c>
      <c r="B357" s="384" t="s">
        <v>192</v>
      </c>
      <c r="C357" s="384"/>
      <c r="D357" s="384"/>
      <c r="E357" s="384"/>
      <c r="F357" s="384"/>
      <c r="G357" s="384"/>
      <c r="H357" s="384"/>
      <c r="I357" s="384"/>
      <c r="J357" s="384"/>
      <c r="K357" s="384"/>
      <c r="L357" s="384"/>
      <c r="M357" s="384"/>
      <c r="N357" s="384"/>
      <c r="O357" s="92"/>
      <c r="P357" s="92"/>
      <c r="Q357" s="104"/>
      <c r="R357" s="104"/>
      <c r="S357" s="107"/>
      <c r="T357" s="109"/>
    </row>
    <row r="358" spans="1:22" s="114" customFormat="1" ht="15">
      <c r="A358" s="2" t="s">
        <v>0</v>
      </c>
      <c r="B358" s="3" t="s">
        <v>1</v>
      </c>
      <c r="C358" s="4" t="s">
        <v>2</v>
      </c>
      <c r="D358" s="5" t="s">
        <v>3</v>
      </c>
      <c r="E358" s="6" t="s">
        <v>4</v>
      </c>
      <c r="F358" s="3" t="s">
        <v>5</v>
      </c>
      <c r="G358" s="7" t="s">
        <v>2</v>
      </c>
      <c r="H358" s="6" t="s">
        <v>6</v>
      </c>
      <c r="I358" s="6" t="s">
        <v>7</v>
      </c>
      <c r="J358" s="8" t="s">
        <v>8</v>
      </c>
      <c r="K358" s="9" t="s">
        <v>9</v>
      </c>
      <c r="L358" s="10" t="s">
        <v>10</v>
      </c>
      <c r="M358" s="11" t="s">
        <v>11</v>
      </c>
      <c r="N358" s="103" t="s">
        <v>53</v>
      </c>
      <c r="O358" s="105" t="s">
        <v>110</v>
      </c>
      <c r="P358" s="106" t="s">
        <v>0</v>
      </c>
      <c r="Q358" s="117" t="s">
        <v>13</v>
      </c>
      <c r="R358" s="117" t="s">
        <v>70</v>
      </c>
      <c r="S358" s="111" t="s">
        <v>103</v>
      </c>
      <c r="T358" s="116" t="s">
        <v>107</v>
      </c>
      <c r="V358" s="9"/>
    </row>
    <row r="359" spans="1:22" s="114" customFormat="1" ht="15">
      <c r="A359" s="12" t="s">
        <v>92</v>
      </c>
      <c r="B359" s="65">
        <v>42010.447916666664</v>
      </c>
      <c r="C359" s="14">
        <v>111.9</v>
      </c>
      <c r="D359" s="15">
        <v>130</v>
      </c>
      <c r="E359" s="15">
        <f aca="true" t="shared" si="79" ref="E359:E385">C359*D359+11</f>
        <v>14558</v>
      </c>
      <c r="F359" s="13"/>
      <c r="G359" s="14">
        <v>137.99</v>
      </c>
      <c r="H359" s="15">
        <f aca="true" t="shared" si="80" ref="H359:H385">G359*D359</f>
        <v>17938.7</v>
      </c>
      <c r="I359" s="16">
        <f aca="true" t="shared" si="81" ref="I359:I385">H359-E359</f>
        <v>3380.7000000000007</v>
      </c>
      <c r="J359" s="19">
        <f aca="true" t="shared" si="82" ref="J359">I359/E359</f>
        <v>0.23222283280670428</v>
      </c>
      <c r="K359" s="132" t="s">
        <v>151</v>
      </c>
      <c r="L359" s="97">
        <v>123.03</v>
      </c>
      <c r="M359" s="41">
        <f aca="true" t="shared" si="83" ref="M359:M385">C359*0.93</f>
        <v>104.06700000000001</v>
      </c>
      <c r="N359" s="118">
        <v>141.88</v>
      </c>
      <c r="O359" s="121">
        <f>WORKDAY(B360,40,'Weekly Summary'!P$2:P$10)</f>
        <v>42069</v>
      </c>
      <c r="P359" s="116" t="s">
        <v>92</v>
      </c>
      <c r="Q359" s="117">
        <v>143.9</v>
      </c>
      <c r="R359" s="118">
        <f>Q359*0.855</f>
        <v>123.03450000000001</v>
      </c>
      <c r="S359" s="117">
        <f>1.11*C359</f>
        <v>124.20900000000002</v>
      </c>
      <c r="T359" s="116"/>
      <c r="V359" s="131"/>
    </row>
    <row r="360" spans="1:22" s="114" customFormat="1" ht="15">
      <c r="A360" s="12" t="s">
        <v>92</v>
      </c>
      <c r="B360" s="65">
        <v>42011.34305555555</v>
      </c>
      <c r="C360" s="14">
        <v>114.4</v>
      </c>
      <c r="D360" s="15">
        <v>75</v>
      </c>
      <c r="E360" s="15">
        <f t="shared" si="79"/>
        <v>8591</v>
      </c>
      <c r="F360" s="13"/>
      <c r="G360" s="14">
        <v>137.99</v>
      </c>
      <c r="H360" s="15">
        <f t="shared" si="80"/>
        <v>10349.25</v>
      </c>
      <c r="I360" s="16">
        <f t="shared" si="81"/>
        <v>1758.25</v>
      </c>
      <c r="J360" s="19">
        <f>I360/E360</f>
        <v>0.20466185543010126</v>
      </c>
      <c r="K360" s="132" t="s">
        <v>152</v>
      </c>
      <c r="L360" s="97">
        <v>123.03</v>
      </c>
      <c r="M360" s="41">
        <f t="shared" si="83"/>
        <v>106.39200000000001</v>
      </c>
      <c r="N360" s="118">
        <v>141.88</v>
      </c>
      <c r="O360" s="116"/>
      <c r="P360" s="116" t="s">
        <v>92</v>
      </c>
      <c r="Q360" s="117"/>
      <c r="R360" s="118"/>
      <c r="S360" s="117"/>
      <c r="T360" s="116"/>
      <c r="V360" s="131"/>
    </row>
    <row r="361" spans="1:22" s="114" customFormat="1" ht="15">
      <c r="A361" s="12" t="s">
        <v>92</v>
      </c>
      <c r="B361" s="65">
        <v>42012.39513888889</v>
      </c>
      <c r="C361" s="14">
        <v>117.75</v>
      </c>
      <c r="D361" s="15">
        <v>50</v>
      </c>
      <c r="E361" s="15">
        <f t="shared" si="79"/>
        <v>5898.5</v>
      </c>
      <c r="F361" s="13"/>
      <c r="G361" s="14">
        <v>137.99</v>
      </c>
      <c r="H361" s="15">
        <f t="shared" si="80"/>
        <v>6899.5</v>
      </c>
      <c r="I361" s="16">
        <f t="shared" si="81"/>
        <v>1001</v>
      </c>
      <c r="J361" s="19">
        <f>I361/E361</f>
        <v>0.16970416207510383</v>
      </c>
      <c r="K361" s="95" t="s">
        <v>95</v>
      </c>
      <c r="L361" s="97">
        <v>123.03</v>
      </c>
      <c r="M361" s="41">
        <f t="shared" si="83"/>
        <v>109.50750000000001</v>
      </c>
      <c r="N361" s="118">
        <v>141.88</v>
      </c>
      <c r="O361" s="116"/>
      <c r="P361" s="116" t="s">
        <v>92</v>
      </c>
      <c r="Q361" s="117"/>
      <c r="R361" s="118"/>
      <c r="S361" s="117"/>
      <c r="T361" s="116"/>
      <c r="V361" s="131"/>
    </row>
    <row r="362" spans="1:22" s="114" customFormat="1" ht="15">
      <c r="A362" s="12" t="s">
        <v>92</v>
      </c>
      <c r="B362" s="65">
        <v>42061.55972222222</v>
      </c>
      <c r="C362" s="14">
        <v>131.5</v>
      </c>
      <c r="D362" s="15">
        <v>50</v>
      </c>
      <c r="E362" s="15">
        <f t="shared" si="79"/>
        <v>6586</v>
      </c>
      <c r="F362" s="13"/>
      <c r="G362" s="14">
        <v>137.99</v>
      </c>
      <c r="H362" s="15">
        <f t="shared" si="80"/>
        <v>6899.5</v>
      </c>
      <c r="I362" s="16">
        <f t="shared" si="81"/>
        <v>313.5</v>
      </c>
      <c r="J362" s="19">
        <f>I362/E362</f>
        <v>0.04760097175827513</v>
      </c>
      <c r="K362" s="95" t="s">
        <v>145</v>
      </c>
      <c r="L362" s="97">
        <v>123.03</v>
      </c>
      <c r="M362" s="41">
        <f t="shared" si="83"/>
        <v>122.295</v>
      </c>
      <c r="N362" s="118">
        <v>141.88</v>
      </c>
      <c r="O362" s="116"/>
      <c r="P362" s="116" t="s">
        <v>92</v>
      </c>
      <c r="Q362" s="117"/>
      <c r="R362" s="118"/>
      <c r="S362" s="117"/>
      <c r="T362" s="116"/>
      <c r="V362" s="131"/>
    </row>
    <row r="363" spans="1:22" s="114" customFormat="1" ht="15">
      <c r="A363" s="12" t="s">
        <v>80</v>
      </c>
      <c r="B363" s="65">
        <v>42011.30486111111</v>
      </c>
      <c r="C363" s="14">
        <v>58.02</v>
      </c>
      <c r="D363" s="15">
        <v>250</v>
      </c>
      <c r="E363" s="15">
        <f t="shared" si="79"/>
        <v>14516</v>
      </c>
      <c r="F363" s="13"/>
      <c r="G363" s="14">
        <v>71.69</v>
      </c>
      <c r="H363" s="15">
        <f t="shared" si="80"/>
        <v>17922.5</v>
      </c>
      <c r="I363" s="16">
        <f t="shared" si="81"/>
        <v>3406.5</v>
      </c>
      <c r="J363" s="19">
        <f aca="true" t="shared" si="84" ref="J363:J367">I363/E363</f>
        <v>0.23467208597409756</v>
      </c>
      <c r="K363" s="95" t="s">
        <v>81</v>
      </c>
      <c r="L363" s="97">
        <v>62.93</v>
      </c>
      <c r="M363" s="41">
        <f t="shared" si="83"/>
        <v>53.958600000000004</v>
      </c>
      <c r="N363" s="118">
        <v>76.6</v>
      </c>
      <c r="O363" s="121">
        <v>42090</v>
      </c>
      <c r="P363" s="116" t="s">
        <v>80</v>
      </c>
      <c r="Q363" s="117">
        <v>73.6</v>
      </c>
      <c r="R363" s="118">
        <f>Q363*0.855</f>
        <v>62.928</v>
      </c>
      <c r="S363" s="117">
        <f>1.11*C363</f>
        <v>64.40220000000001</v>
      </c>
      <c r="T363" s="116"/>
      <c r="V363" s="131"/>
    </row>
    <row r="364" spans="1:22" s="114" customFormat="1" ht="15">
      <c r="A364" s="12" t="s">
        <v>80</v>
      </c>
      <c r="B364" s="65">
        <v>42011.40694444445</v>
      </c>
      <c r="C364" s="14">
        <v>59.16</v>
      </c>
      <c r="D364" s="15">
        <v>150</v>
      </c>
      <c r="E364" s="15">
        <f t="shared" si="79"/>
        <v>8885</v>
      </c>
      <c r="F364" s="13"/>
      <c r="G364" s="14">
        <v>71.69</v>
      </c>
      <c r="H364" s="15">
        <f t="shared" si="80"/>
        <v>10753.5</v>
      </c>
      <c r="I364" s="16">
        <f t="shared" si="81"/>
        <v>1868.5</v>
      </c>
      <c r="J364" s="122">
        <f t="shared" si="84"/>
        <v>0.21029825548677547</v>
      </c>
      <c r="K364" s="95" t="s">
        <v>82</v>
      </c>
      <c r="L364" s="97">
        <v>62.93</v>
      </c>
      <c r="M364" s="41">
        <f t="shared" si="83"/>
        <v>55.0188</v>
      </c>
      <c r="N364" s="118">
        <v>77.93</v>
      </c>
      <c r="O364" s="116"/>
      <c r="P364" s="116" t="s">
        <v>80</v>
      </c>
      <c r="Q364" s="117"/>
      <c r="R364" s="118"/>
      <c r="S364" s="117"/>
      <c r="T364" s="116"/>
      <c r="V364" s="131"/>
    </row>
    <row r="365" spans="1:22" s="114" customFormat="1" ht="15">
      <c r="A365" s="12" t="s">
        <v>80</v>
      </c>
      <c r="B365" s="65">
        <v>42012.29305555556</v>
      </c>
      <c r="C365" s="14">
        <v>60.3</v>
      </c>
      <c r="D365" s="15">
        <v>100</v>
      </c>
      <c r="E365" s="15">
        <f t="shared" si="79"/>
        <v>6041</v>
      </c>
      <c r="F365" s="13"/>
      <c r="G365" s="14">
        <v>71.69</v>
      </c>
      <c r="H365" s="15">
        <f t="shared" si="80"/>
        <v>7169</v>
      </c>
      <c r="I365" s="16">
        <f t="shared" si="81"/>
        <v>1128</v>
      </c>
      <c r="J365" s="19">
        <f t="shared" si="84"/>
        <v>0.18672405230922032</v>
      </c>
      <c r="K365" s="95" t="s">
        <v>83</v>
      </c>
      <c r="L365" s="97">
        <v>62.93</v>
      </c>
      <c r="M365" s="41">
        <f t="shared" si="83"/>
        <v>56.079</v>
      </c>
      <c r="N365" s="118">
        <v>77.93</v>
      </c>
      <c r="O365" s="116"/>
      <c r="P365" s="116" t="s">
        <v>80</v>
      </c>
      <c r="Q365" s="117"/>
      <c r="R365" s="118"/>
      <c r="S365" s="117"/>
      <c r="T365" s="116"/>
      <c r="V365" s="131"/>
    </row>
    <row r="366" spans="1:22" s="114" customFormat="1" ht="15">
      <c r="A366" s="12" t="s">
        <v>80</v>
      </c>
      <c r="B366" s="65">
        <v>42047.271527777775</v>
      </c>
      <c r="C366" s="14">
        <v>64.65</v>
      </c>
      <c r="D366" s="15">
        <v>100</v>
      </c>
      <c r="E366" s="15">
        <f t="shared" si="79"/>
        <v>6476.000000000001</v>
      </c>
      <c r="F366" s="13"/>
      <c r="G366" s="14">
        <v>71.69</v>
      </c>
      <c r="H366" s="15">
        <f t="shared" si="80"/>
        <v>7169</v>
      </c>
      <c r="I366" s="16">
        <f t="shared" si="81"/>
        <v>692.9999999999991</v>
      </c>
      <c r="J366" s="19">
        <f t="shared" si="84"/>
        <v>0.10701050030883245</v>
      </c>
      <c r="K366" s="95" t="s">
        <v>132</v>
      </c>
      <c r="L366" s="97">
        <v>62.93</v>
      </c>
      <c r="M366" s="41">
        <f t="shared" si="83"/>
        <v>60.12450000000001</v>
      </c>
      <c r="N366" s="118">
        <v>77.93</v>
      </c>
      <c r="O366" s="116"/>
      <c r="P366" s="116" t="s">
        <v>80</v>
      </c>
      <c r="Q366" s="117"/>
      <c r="R366" s="118"/>
      <c r="S366" s="117"/>
      <c r="T366" s="116"/>
      <c r="V366" s="131"/>
    </row>
    <row r="367" spans="1:22" s="114" customFormat="1" ht="15">
      <c r="A367" s="12" t="s">
        <v>80</v>
      </c>
      <c r="B367" s="65">
        <v>42081.34097222222</v>
      </c>
      <c r="C367" s="14">
        <v>70</v>
      </c>
      <c r="D367" s="15">
        <v>120</v>
      </c>
      <c r="E367" s="15">
        <f t="shared" si="79"/>
        <v>8411</v>
      </c>
      <c r="F367" s="13"/>
      <c r="G367" s="14">
        <v>71.69</v>
      </c>
      <c r="H367" s="15">
        <f t="shared" si="80"/>
        <v>8602.8</v>
      </c>
      <c r="I367" s="16">
        <f t="shared" si="81"/>
        <v>191.79999999999927</v>
      </c>
      <c r="J367" s="19">
        <f t="shared" si="84"/>
        <v>0.022803471644275267</v>
      </c>
      <c r="K367" s="95" t="s">
        <v>181</v>
      </c>
      <c r="L367" s="97"/>
      <c r="M367" s="20">
        <f t="shared" si="83"/>
        <v>65.10000000000001</v>
      </c>
      <c r="N367" s="118">
        <v>77.93</v>
      </c>
      <c r="O367" s="116"/>
      <c r="P367" s="116" t="s">
        <v>80</v>
      </c>
      <c r="Q367" s="117"/>
      <c r="R367" s="118"/>
      <c r="S367" s="117"/>
      <c r="T367" s="116"/>
      <c r="V367" s="131"/>
    </row>
    <row r="368" spans="1:20" s="114" customFormat="1" ht="15">
      <c r="A368" s="12" t="s">
        <v>61</v>
      </c>
      <c r="B368" s="65">
        <v>42040.27847222222</v>
      </c>
      <c r="C368" s="14">
        <v>132.85</v>
      </c>
      <c r="D368" s="15">
        <v>110</v>
      </c>
      <c r="E368" s="15">
        <f t="shared" si="79"/>
        <v>14624.5</v>
      </c>
      <c r="F368" s="13"/>
      <c r="G368" s="14">
        <v>151.2</v>
      </c>
      <c r="H368" s="15">
        <f t="shared" si="80"/>
        <v>16632</v>
      </c>
      <c r="I368" s="16">
        <f t="shared" si="81"/>
        <v>2007.5</v>
      </c>
      <c r="J368" s="19">
        <f aca="true" t="shared" si="85" ref="J368:J385">I368/E368</f>
        <v>0.1372696502444528</v>
      </c>
      <c r="K368" s="95" t="s">
        <v>134</v>
      </c>
      <c r="L368" s="119">
        <v>133.38</v>
      </c>
      <c r="M368" s="41">
        <f t="shared" si="83"/>
        <v>123.5505</v>
      </c>
      <c r="N368" s="118">
        <v>168.13</v>
      </c>
      <c r="O368" s="121">
        <v>42086</v>
      </c>
      <c r="P368" s="116" t="s">
        <v>61</v>
      </c>
      <c r="Q368" s="117">
        <v>156</v>
      </c>
      <c r="R368" s="118">
        <f>Q368*0.855</f>
        <v>133.38</v>
      </c>
      <c r="S368" s="117">
        <f>1.11*C368</f>
        <v>147.4635</v>
      </c>
      <c r="T368" s="116"/>
    </row>
    <row r="369" spans="1:20" s="114" customFormat="1" ht="15">
      <c r="A369" s="12" t="s">
        <v>61</v>
      </c>
      <c r="B369" s="65">
        <v>42045.27291666667</v>
      </c>
      <c r="C369" s="14">
        <v>135.9</v>
      </c>
      <c r="D369" s="15">
        <v>65</v>
      </c>
      <c r="E369" s="15">
        <f t="shared" si="79"/>
        <v>8844.5</v>
      </c>
      <c r="F369" s="13"/>
      <c r="G369" s="14">
        <v>151.2</v>
      </c>
      <c r="H369" s="15">
        <f t="shared" si="80"/>
        <v>9828</v>
      </c>
      <c r="I369" s="16">
        <f t="shared" si="81"/>
        <v>983.5</v>
      </c>
      <c r="J369" s="19">
        <f t="shared" si="85"/>
        <v>0.111199050257222</v>
      </c>
      <c r="K369" s="95" t="s">
        <v>141</v>
      </c>
      <c r="L369" s="119">
        <v>133.38</v>
      </c>
      <c r="M369" s="41">
        <f t="shared" si="83"/>
        <v>126.38700000000001</v>
      </c>
      <c r="N369" s="118">
        <v>168.13</v>
      </c>
      <c r="O369" s="116"/>
      <c r="P369" s="116" t="s">
        <v>61</v>
      </c>
      <c r="Q369" s="117"/>
      <c r="R369" s="118"/>
      <c r="S369" s="117"/>
      <c r="T369" s="116"/>
    </row>
    <row r="370" spans="1:20" s="114" customFormat="1" ht="15">
      <c r="A370" s="12" t="s">
        <v>61</v>
      </c>
      <c r="B370" s="65">
        <v>42054.277083333334</v>
      </c>
      <c r="C370" s="14">
        <v>139.17</v>
      </c>
      <c r="D370" s="15">
        <v>40</v>
      </c>
      <c r="E370" s="15">
        <f t="shared" si="79"/>
        <v>5577.799999999999</v>
      </c>
      <c r="F370" s="13"/>
      <c r="G370" s="14">
        <v>151.2</v>
      </c>
      <c r="H370" s="15">
        <f t="shared" si="80"/>
        <v>6048</v>
      </c>
      <c r="I370" s="16">
        <f t="shared" si="81"/>
        <v>470.2000000000007</v>
      </c>
      <c r="J370" s="19">
        <f t="shared" si="85"/>
        <v>0.08429846893040281</v>
      </c>
      <c r="K370" s="95" t="s">
        <v>140</v>
      </c>
      <c r="L370" s="119">
        <v>133.38</v>
      </c>
      <c r="M370" s="41">
        <f t="shared" si="83"/>
        <v>129.4281</v>
      </c>
      <c r="N370" s="118">
        <v>168.13</v>
      </c>
      <c r="O370" s="116"/>
      <c r="P370" s="116" t="s">
        <v>61</v>
      </c>
      <c r="Q370" s="117"/>
      <c r="R370" s="118"/>
      <c r="S370" s="117"/>
      <c r="T370" s="116"/>
    </row>
    <row r="371" spans="1:20" s="114" customFormat="1" ht="15">
      <c r="A371" s="12" t="s">
        <v>61</v>
      </c>
      <c r="B371" s="65">
        <v>42075.56458333333</v>
      </c>
      <c r="C371" s="14">
        <v>154</v>
      </c>
      <c r="D371" s="15">
        <v>40</v>
      </c>
      <c r="E371" s="15">
        <f t="shared" si="79"/>
        <v>6171</v>
      </c>
      <c r="F371" s="13"/>
      <c r="G371" s="14">
        <v>151.2</v>
      </c>
      <c r="H371" s="15">
        <f t="shared" si="80"/>
        <v>6048</v>
      </c>
      <c r="I371" s="16">
        <f t="shared" si="81"/>
        <v>-123</v>
      </c>
      <c r="J371" s="19">
        <f t="shared" si="85"/>
        <v>-0.019931939718035974</v>
      </c>
      <c r="K371" s="95" t="s">
        <v>160</v>
      </c>
      <c r="L371" s="119"/>
      <c r="M371" s="20">
        <f t="shared" si="83"/>
        <v>143.22</v>
      </c>
      <c r="N371" s="118">
        <v>168.13</v>
      </c>
      <c r="O371" s="116"/>
      <c r="P371" s="116" t="s">
        <v>61</v>
      </c>
      <c r="Q371" s="117"/>
      <c r="R371" s="118"/>
      <c r="S371" s="117"/>
      <c r="T371" s="116"/>
    </row>
    <row r="372" spans="1:20" s="114" customFormat="1" ht="15">
      <c r="A372" s="12" t="s">
        <v>52</v>
      </c>
      <c r="B372" s="65">
        <v>42046.27361111111</v>
      </c>
      <c r="C372" s="14">
        <v>129.75</v>
      </c>
      <c r="D372" s="15">
        <v>80</v>
      </c>
      <c r="E372" s="15">
        <f t="shared" si="79"/>
        <v>10391</v>
      </c>
      <c r="F372" s="65"/>
      <c r="G372" s="14">
        <v>146.44</v>
      </c>
      <c r="H372" s="15">
        <f t="shared" si="80"/>
        <v>11715.2</v>
      </c>
      <c r="I372" s="16">
        <f t="shared" si="81"/>
        <v>1324.2000000000007</v>
      </c>
      <c r="J372" s="19">
        <f t="shared" si="85"/>
        <v>0.1274372052737947</v>
      </c>
      <c r="K372" s="95" t="s">
        <v>135</v>
      </c>
      <c r="L372" s="119">
        <v>127.69</v>
      </c>
      <c r="M372" s="41">
        <f t="shared" si="83"/>
        <v>120.6675</v>
      </c>
      <c r="N372" s="118">
        <v>161.78</v>
      </c>
      <c r="O372" s="121">
        <f>WORKDAY(B372,40,'Weekly Summary'!P$2:P$10)</f>
        <v>42104</v>
      </c>
      <c r="P372" s="116" t="s">
        <v>52</v>
      </c>
      <c r="Q372" s="117">
        <v>149.35</v>
      </c>
      <c r="R372" s="118">
        <f>Q372*0.855</f>
        <v>127.69425</v>
      </c>
      <c r="S372" s="117">
        <f>1.11*C372</f>
        <v>144.0225</v>
      </c>
      <c r="T372" s="116"/>
    </row>
    <row r="373" spans="1:20" s="114" customFormat="1" ht="15">
      <c r="A373" s="12" t="s">
        <v>52</v>
      </c>
      <c r="B373" s="65">
        <v>42047.275</v>
      </c>
      <c r="C373" s="14">
        <v>133.95</v>
      </c>
      <c r="D373" s="15">
        <v>45</v>
      </c>
      <c r="E373" s="15">
        <f t="shared" si="79"/>
        <v>6038.749999999999</v>
      </c>
      <c r="F373" s="13"/>
      <c r="G373" s="14">
        <v>146.44</v>
      </c>
      <c r="H373" s="15">
        <f t="shared" si="80"/>
        <v>6589.8</v>
      </c>
      <c r="I373" s="16">
        <f t="shared" si="81"/>
        <v>551.0500000000011</v>
      </c>
      <c r="J373" s="19">
        <f t="shared" si="85"/>
        <v>0.09125232871041211</v>
      </c>
      <c r="K373" s="95" t="s">
        <v>136</v>
      </c>
      <c r="L373" s="119">
        <v>127.69</v>
      </c>
      <c r="M373" s="41">
        <f t="shared" si="83"/>
        <v>124.5735</v>
      </c>
      <c r="N373" s="118">
        <v>161.78</v>
      </c>
      <c r="O373" s="116"/>
      <c r="P373" s="116" t="s">
        <v>52</v>
      </c>
      <c r="Q373" s="117"/>
      <c r="R373" s="118"/>
      <c r="S373" s="117"/>
      <c r="T373" s="116"/>
    </row>
    <row r="374" spans="1:20" s="114" customFormat="1" ht="15">
      <c r="A374" s="12" t="s">
        <v>52</v>
      </c>
      <c r="B374" s="65">
        <v>42048.450694444444</v>
      </c>
      <c r="C374" s="14">
        <v>135.8</v>
      </c>
      <c r="D374" s="15">
        <v>30</v>
      </c>
      <c r="E374" s="15">
        <f t="shared" si="79"/>
        <v>4085.0000000000005</v>
      </c>
      <c r="F374" s="13"/>
      <c r="G374" s="14">
        <v>146.44</v>
      </c>
      <c r="H374" s="15">
        <f t="shared" si="80"/>
        <v>4393.2</v>
      </c>
      <c r="I374" s="16">
        <f t="shared" si="81"/>
        <v>308.19999999999936</v>
      </c>
      <c r="J374" s="19">
        <f t="shared" si="85"/>
        <v>0.07544675642594843</v>
      </c>
      <c r="K374" s="95" t="s">
        <v>143</v>
      </c>
      <c r="L374" s="119">
        <v>127.69</v>
      </c>
      <c r="M374" s="41">
        <f t="shared" si="83"/>
        <v>126.29400000000001</v>
      </c>
      <c r="N374" s="118">
        <v>161.78</v>
      </c>
      <c r="O374" s="116"/>
      <c r="P374" s="116" t="s">
        <v>52</v>
      </c>
      <c r="Q374" s="117"/>
      <c r="R374" s="118"/>
      <c r="S374" s="117"/>
      <c r="T374" s="116"/>
    </row>
    <row r="375" spans="1:20" s="114" customFormat="1" ht="15">
      <c r="A375" s="12" t="s">
        <v>52</v>
      </c>
      <c r="B375" s="65">
        <v>42074.29027777778</v>
      </c>
      <c r="C375" s="14">
        <v>140.55</v>
      </c>
      <c r="D375" s="15">
        <v>30</v>
      </c>
      <c r="E375" s="15">
        <f t="shared" si="79"/>
        <v>4227.5</v>
      </c>
      <c r="F375" s="13"/>
      <c r="G375" s="14">
        <v>146.44</v>
      </c>
      <c r="H375" s="15">
        <f t="shared" si="80"/>
        <v>4393.2</v>
      </c>
      <c r="I375" s="16">
        <f t="shared" si="81"/>
        <v>165.69999999999982</v>
      </c>
      <c r="J375" s="19">
        <f t="shared" si="85"/>
        <v>0.03919574216439972</v>
      </c>
      <c r="K375" s="95" t="s">
        <v>182</v>
      </c>
      <c r="L375" s="119"/>
      <c r="M375" s="20">
        <f t="shared" si="83"/>
        <v>130.71150000000003</v>
      </c>
      <c r="N375" s="118">
        <v>161.78</v>
      </c>
      <c r="O375" s="116"/>
      <c r="P375" s="116" t="s">
        <v>52</v>
      </c>
      <c r="Q375" s="117"/>
      <c r="R375" s="118"/>
      <c r="S375" s="117"/>
      <c r="T375" s="116"/>
    </row>
    <row r="376" spans="1:20" s="114" customFormat="1" ht="15">
      <c r="A376" s="12" t="s">
        <v>39</v>
      </c>
      <c r="B376" s="65">
        <v>42062.53680555556</v>
      </c>
      <c r="C376" s="14">
        <v>57.65</v>
      </c>
      <c r="D376" s="15">
        <v>100</v>
      </c>
      <c r="E376" s="15">
        <f t="shared" si="79"/>
        <v>5776</v>
      </c>
      <c r="F376" s="13"/>
      <c r="G376" s="14">
        <v>72.39</v>
      </c>
      <c r="H376" s="15">
        <f t="shared" si="80"/>
        <v>7239</v>
      </c>
      <c r="I376" s="16">
        <f t="shared" si="81"/>
        <v>1463</v>
      </c>
      <c r="J376" s="19">
        <f t="shared" si="85"/>
        <v>0.2532894736842105</v>
      </c>
      <c r="K376" s="95" t="s">
        <v>149</v>
      </c>
      <c r="L376" s="119">
        <v>62.84</v>
      </c>
      <c r="M376" s="41">
        <f t="shared" si="83"/>
        <v>53.6145</v>
      </c>
      <c r="N376" s="118">
        <v>79</v>
      </c>
      <c r="O376" s="121">
        <v>42124</v>
      </c>
      <c r="P376" s="116" t="s">
        <v>39</v>
      </c>
      <c r="Q376" s="117">
        <v>73.5</v>
      </c>
      <c r="R376" s="118">
        <f>Q376*0.855</f>
        <v>62.8425</v>
      </c>
      <c r="S376" s="117">
        <f>1.11*C376</f>
        <v>63.9915</v>
      </c>
      <c r="T376" s="116"/>
    </row>
    <row r="377" spans="1:20" s="114" customFormat="1" ht="15">
      <c r="A377" s="12" t="s">
        <v>39</v>
      </c>
      <c r="B377" s="65">
        <v>42073.322916666664</v>
      </c>
      <c r="C377" s="14">
        <v>65.15</v>
      </c>
      <c r="D377" s="15">
        <v>350</v>
      </c>
      <c r="E377" s="15">
        <f t="shared" si="79"/>
        <v>22813.500000000004</v>
      </c>
      <c r="F377" s="13"/>
      <c r="G377" s="14">
        <v>72.39</v>
      </c>
      <c r="H377" s="15">
        <f t="shared" si="80"/>
        <v>25336.5</v>
      </c>
      <c r="I377" s="16">
        <f t="shared" si="81"/>
        <v>2522.9999999999964</v>
      </c>
      <c r="J377" s="19">
        <f t="shared" si="85"/>
        <v>0.11059241238740201</v>
      </c>
      <c r="K377" s="95" t="s">
        <v>164</v>
      </c>
      <c r="L377" s="119">
        <v>62.84</v>
      </c>
      <c r="M377" s="41">
        <f t="shared" si="83"/>
        <v>60.58950000000001</v>
      </c>
      <c r="N377" s="118">
        <v>79</v>
      </c>
      <c r="O377" s="116"/>
      <c r="P377" s="116" t="s">
        <v>39</v>
      </c>
      <c r="Q377" s="117"/>
      <c r="R377" s="118"/>
      <c r="S377" s="117"/>
      <c r="T377" s="116"/>
    </row>
    <row r="378" spans="1:20" s="114" customFormat="1" ht="15">
      <c r="A378" s="12" t="s">
        <v>39</v>
      </c>
      <c r="B378" s="65">
        <v>42073.35555555556</v>
      </c>
      <c r="C378" s="14">
        <v>66.15</v>
      </c>
      <c r="D378" s="15">
        <v>110</v>
      </c>
      <c r="E378" s="15">
        <f t="shared" si="79"/>
        <v>7287.500000000001</v>
      </c>
      <c r="F378" s="13"/>
      <c r="G378" s="14">
        <v>72.39</v>
      </c>
      <c r="H378" s="15">
        <f t="shared" si="80"/>
        <v>7962.9</v>
      </c>
      <c r="I378" s="16">
        <f t="shared" si="81"/>
        <v>675.3999999999987</v>
      </c>
      <c r="J378" s="19">
        <f t="shared" si="85"/>
        <v>0.09267924528301869</v>
      </c>
      <c r="K378" s="95" t="s">
        <v>165</v>
      </c>
      <c r="L378" s="119">
        <v>62.84</v>
      </c>
      <c r="M378" s="41">
        <f t="shared" si="83"/>
        <v>61.51950000000001</v>
      </c>
      <c r="N378" s="118">
        <v>79</v>
      </c>
      <c r="O378" s="116"/>
      <c r="P378" s="116" t="s">
        <v>39</v>
      </c>
      <c r="Q378" s="117"/>
      <c r="R378" s="118"/>
      <c r="S378" s="117"/>
      <c r="T378" s="116"/>
    </row>
    <row r="379" spans="1:20" s="114" customFormat="1" ht="15">
      <c r="A379" s="12" t="s">
        <v>169</v>
      </c>
      <c r="B379" s="65">
        <v>42076.538194444445</v>
      </c>
      <c r="C379" s="14">
        <v>56.64</v>
      </c>
      <c r="D379" s="15">
        <v>320</v>
      </c>
      <c r="E379" s="15">
        <f t="shared" si="79"/>
        <v>18135.8</v>
      </c>
      <c r="F379" s="13"/>
      <c r="G379" s="14">
        <v>55.01</v>
      </c>
      <c r="H379" s="15">
        <f t="shared" si="80"/>
        <v>17603.2</v>
      </c>
      <c r="I379" s="16">
        <f t="shared" si="81"/>
        <v>-532.5999999999985</v>
      </c>
      <c r="J379" s="19">
        <f t="shared" si="85"/>
        <v>-0.029367328708962304</v>
      </c>
      <c r="K379" s="95" t="s">
        <v>170</v>
      </c>
      <c r="L379" s="119"/>
      <c r="M379" s="20">
        <f t="shared" si="83"/>
        <v>52.675200000000004</v>
      </c>
      <c r="N379" s="118">
        <v>71.25</v>
      </c>
      <c r="O379" s="121">
        <v>42132</v>
      </c>
      <c r="P379" s="116" t="s">
        <v>169</v>
      </c>
      <c r="Q379" s="117"/>
      <c r="R379" s="118"/>
      <c r="S379" s="117">
        <f>1.11*C379</f>
        <v>62.870400000000004</v>
      </c>
      <c r="T379" s="116"/>
    </row>
    <row r="380" spans="1:20" s="114" customFormat="1" ht="15">
      <c r="A380" s="12" t="s">
        <v>169</v>
      </c>
      <c r="B380" s="65">
        <v>42082.302777777775</v>
      </c>
      <c r="C380" s="14">
        <v>57.9</v>
      </c>
      <c r="D380" s="15">
        <v>190</v>
      </c>
      <c r="E380" s="15">
        <f t="shared" si="79"/>
        <v>11012</v>
      </c>
      <c r="F380" s="13"/>
      <c r="G380" s="14">
        <v>55.01</v>
      </c>
      <c r="H380" s="15">
        <f t="shared" si="80"/>
        <v>10451.9</v>
      </c>
      <c r="I380" s="16">
        <f t="shared" si="81"/>
        <v>-560.1000000000004</v>
      </c>
      <c r="J380" s="19">
        <f t="shared" si="85"/>
        <v>-0.0508626952415547</v>
      </c>
      <c r="K380" s="95" t="s">
        <v>189</v>
      </c>
      <c r="L380" s="119"/>
      <c r="M380" s="20">
        <f t="shared" si="83"/>
        <v>53.847</v>
      </c>
      <c r="N380" s="118">
        <v>71.25</v>
      </c>
      <c r="O380" s="116"/>
      <c r="P380" s="116" t="s">
        <v>169</v>
      </c>
      <c r="Q380" s="117"/>
      <c r="R380" s="118"/>
      <c r="S380" s="117"/>
      <c r="T380" s="116"/>
    </row>
    <row r="381" spans="1:20" s="114" customFormat="1" ht="15">
      <c r="A381" s="12" t="s">
        <v>45</v>
      </c>
      <c r="B381" s="65">
        <v>42080.325694444444</v>
      </c>
      <c r="C381" s="14">
        <v>20.12</v>
      </c>
      <c r="D381" s="15">
        <v>1000</v>
      </c>
      <c r="E381" s="15">
        <f t="shared" si="79"/>
        <v>20131</v>
      </c>
      <c r="F381" s="13"/>
      <c r="G381" s="14">
        <v>23.16</v>
      </c>
      <c r="H381" s="15">
        <f t="shared" si="80"/>
        <v>23160</v>
      </c>
      <c r="I381" s="16">
        <f t="shared" si="81"/>
        <v>3029</v>
      </c>
      <c r="J381" s="19">
        <f t="shared" si="85"/>
        <v>0.15046445780140083</v>
      </c>
      <c r="K381" s="95" t="s">
        <v>186</v>
      </c>
      <c r="L381" s="119"/>
      <c r="M381" s="20">
        <f t="shared" si="83"/>
        <v>18.7116</v>
      </c>
      <c r="N381" s="118">
        <v>29.23</v>
      </c>
      <c r="O381" s="121">
        <v>42159</v>
      </c>
      <c r="P381" s="116" t="s">
        <v>45</v>
      </c>
      <c r="Q381" s="117"/>
      <c r="R381" s="118"/>
      <c r="S381" s="117">
        <f>1.11*C381</f>
        <v>22.3332</v>
      </c>
      <c r="T381" s="116"/>
    </row>
    <row r="382" spans="1:20" s="114" customFormat="1" ht="15">
      <c r="A382" s="12" t="s">
        <v>45</v>
      </c>
      <c r="B382" s="65">
        <v>42081.30972222222</v>
      </c>
      <c r="C382" s="14">
        <v>21.46</v>
      </c>
      <c r="D382" s="15">
        <v>500</v>
      </c>
      <c r="E382" s="15">
        <f t="shared" si="79"/>
        <v>10741</v>
      </c>
      <c r="F382" s="13"/>
      <c r="G382" s="14">
        <v>23.16</v>
      </c>
      <c r="H382" s="15">
        <f t="shared" si="80"/>
        <v>11580</v>
      </c>
      <c r="I382" s="16">
        <f t="shared" si="81"/>
        <v>839</v>
      </c>
      <c r="J382" s="19">
        <f t="shared" si="85"/>
        <v>0.0781119076436086</v>
      </c>
      <c r="K382" s="95" t="s">
        <v>198</v>
      </c>
      <c r="L382" s="119"/>
      <c r="M382" s="20">
        <f t="shared" si="83"/>
        <v>19.957800000000002</v>
      </c>
      <c r="N382" s="118">
        <v>29.23</v>
      </c>
      <c r="O382" s="116"/>
      <c r="P382" s="116" t="s">
        <v>45</v>
      </c>
      <c r="Q382" s="117"/>
      <c r="R382" s="118"/>
      <c r="S382" s="117"/>
      <c r="T382" s="116"/>
    </row>
    <row r="383" spans="1:20" s="114" customFormat="1" ht="15">
      <c r="A383" s="12" t="s">
        <v>45</v>
      </c>
      <c r="B383" s="65">
        <v>42082.32986111111</v>
      </c>
      <c r="C383" s="14">
        <v>23.1</v>
      </c>
      <c r="D383" s="15">
        <v>780</v>
      </c>
      <c r="E383" s="15">
        <f t="shared" si="79"/>
        <v>18029</v>
      </c>
      <c r="F383" s="13"/>
      <c r="G383" s="14">
        <v>23.16</v>
      </c>
      <c r="H383" s="15">
        <f t="shared" si="80"/>
        <v>18064.8</v>
      </c>
      <c r="I383" s="16">
        <f t="shared" si="81"/>
        <v>35.79999999999927</v>
      </c>
      <c r="J383" s="19">
        <f t="shared" si="85"/>
        <v>0.001985689722114331</v>
      </c>
      <c r="K383" s="95" t="s">
        <v>188</v>
      </c>
      <c r="L383" s="119"/>
      <c r="M383" s="20">
        <f t="shared" si="83"/>
        <v>21.483000000000004</v>
      </c>
      <c r="N383" s="118">
        <v>29.23</v>
      </c>
      <c r="O383" s="116"/>
      <c r="P383" s="116" t="s">
        <v>45</v>
      </c>
      <c r="Q383" s="117"/>
      <c r="R383" s="118"/>
      <c r="S383" s="117"/>
      <c r="T383" s="116"/>
    </row>
    <row r="384" spans="1:20" s="114" customFormat="1" ht="15">
      <c r="A384" s="85" t="s">
        <v>45</v>
      </c>
      <c r="B384" s="65">
        <v>42090.27291666667</v>
      </c>
      <c r="C384" s="14">
        <v>23.65</v>
      </c>
      <c r="D384" s="15">
        <v>510</v>
      </c>
      <c r="E384" s="15">
        <f t="shared" si="79"/>
        <v>12072.5</v>
      </c>
      <c r="F384" s="13"/>
      <c r="G384" s="14">
        <v>23.16</v>
      </c>
      <c r="H384" s="15">
        <f t="shared" si="80"/>
        <v>11811.6</v>
      </c>
      <c r="I384" s="16">
        <f t="shared" si="81"/>
        <v>-260.89999999999964</v>
      </c>
      <c r="J384" s="19">
        <f t="shared" si="85"/>
        <v>-0.02161109960654377</v>
      </c>
      <c r="K384" s="95" t="s">
        <v>199</v>
      </c>
      <c r="L384" s="119"/>
      <c r="M384" s="20">
        <f t="shared" si="83"/>
        <v>21.9945</v>
      </c>
      <c r="N384" s="118">
        <v>29.23</v>
      </c>
      <c r="O384" s="116"/>
      <c r="P384" s="116" t="s">
        <v>45</v>
      </c>
      <c r="Q384" s="117"/>
      <c r="R384" s="118"/>
      <c r="S384" s="117"/>
      <c r="T384" s="116"/>
    </row>
    <row r="385" spans="1:20" s="114" customFormat="1" ht="15">
      <c r="A385" s="85" t="s">
        <v>208</v>
      </c>
      <c r="B385" s="65">
        <v>42090.308333333334</v>
      </c>
      <c r="C385" s="14">
        <v>214</v>
      </c>
      <c r="D385" s="15">
        <v>95</v>
      </c>
      <c r="E385" s="15">
        <f t="shared" si="79"/>
        <v>20341</v>
      </c>
      <c r="F385" s="13"/>
      <c r="G385" s="14">
        <v>215.42</v>
      </c>
      <c r="H385" s="15">
        <f t="shared" si="80"/>
        <v>20464.899999999998</v>
      </c>
      <c r="I385" s="16">
        <f t="shared" si="81"/>
        <v>123.89999999999782</v>
      </c>
      <c r="J385" s="19">
        <f t="shared" si="85"/>
        <v>0.0060911459613587245</v>
      </c>
      <c r="K385" s="95" t="s">
        <v>209</v>
      </c>
      <c r="L385" s="119"/>
      <c r="M385" s="20">
        <f t="shared" si="83"/>
        <v>199.02</v>
      </c>
      <c r="N385" s="118">
        <v>267.7</v>
      </c>
      <c r="O385" s="121">
        <v>42136</v>
      </c>
      <c r="P385" s="116" t="s">
        <v>208</v>
      </c>
      <c r="Q385" s="117"/>
      <c r="R385" s="118"/>
      <c r="S385" s="117"/>
      <c r="T385" s="116"/>
    </row>
    <row r="386" spans="1:20" s="114" customFormat="1" ht="15">
      <c r="A386" s="12"/>
      <c r="B386" s="13"/>
      <c r="C386" s="14"/>
      <c r="D386" s="15"/>
      <c r="E386" s="15"/>
      <c r="F386" s="13"/>
      <c r="G386" s="14"/>
      <c r="H386" s="15"/>
      <c r="I386" s="16"/>
      <c r="J386" s="19"/>
      <c r="K386" s="95"/>
      <c r="L386" s="119"/>
      <c r="M386" s="32"/>
      <c r="N386" s="118"/>
      <c r="Q386" s="117"/>
      <c r="R386" s="117"/>
      <c r="S386" s="117"/>
      <c r="T386" s="116"/>
    </row>
    <row r="387" spans="1:20" s="114" customFormat="1" ht="15">
      <c r="A387" s="21" t="s">
        <v>14</v>
      </c>
      <c r="B387" s="22"/>
      <c r="C387" s="23"/>
      <c r="D387" s="24"/>
      <c r="E387" s="24">
        <f>SUM(E359:E386)</f>
        <v>286261.85</v>
      </c>
      <c r="F387" s="22"/>
      <c r="G387" s="23"/>
      <c r="H387" s="24">
        <f>SUM(H359:H386)</f>
        <v>313025.95</v>
      </c>
      <c r="I387" s="25">
        <f>SUM(I359:I386)</f>
        <v>26764.100000000002</v>
      </c>
      <c r="J387" s="26">
        <f>I387/E387</f>
        <v>0.09349516884628534</v>
      </c>
      <c r="K387" s="27" t="s">
        <v>15</v>
      </c>
      <c r="L387" s="28">
        <f>100000+I389</f>
        <v>154993.16</v>
      </c>
      <c r="M387" s="81"/>
      <c r="N387" s="89"/>
      <c r="Q387" s="117"/>
      <c r="R387" s="117"/>
      <c r="S387" s="117"/>
      <c r="T387" s="116"/>
    </row>
    <row r="388" spans="1:20" s="114" customFormat="1" ht="15">
      <c r="A388" s="12" t="s">
        <v>67</v>
      </c>
      <c r="B388" s="22"/>
      <c r="C388" s="25">
        <f>I389-I354</f>
        <v>70.85000000000582</v>
      </c>
      <c r="D388" s="26">
        <f>C388/H352</f>
        <v>0.0002071312800099336</v>
      </c>
      <c r="E388" s="24"/>
      <c r="F388" s="22" t="s">
        <v>16</v>
      </c>
      <c r="G388" s="117"/>
      <c r="H388" s="29" t="str">
        <f>IF(ABS(H387-E387-I387)&lt;1,"","ERROR")</f>
        <v/>
      </c>
      <c r="I388" s="30">
        <v>28229.06</v>
      </c>
      <c r="J388" s="26"/>
      <c r="K388" s="111" t="s">
        <v>17</v>
      </c>
      <c r="L388" s="28">
        <f>(2*(100000+I389))-E387</f>
        <v>23724.47000000003</v>
      </c>
      <c r="M388" s="31"/>
      <c r="Q388" s="117"/>
      <c r="R388" s="117"/>
      <c r="S388" s="117"/>
      <c r="T388" s="116"/>
    </row>
    <row r="389" spans="1:20" s="114" customFormat="1" ht="15">
      <c r="A389" s="12" t="s">
        <v>54</v>
      </c>
      <c r="B389" s="22"/>
      <c r="C389" s="25">
        <f>L387-L352</f>
        <v>70.85000000000582</v>
      </c>
      <c r="D389" s="26">
        <f>C389/L352</f>
        <v>0.00045732599778563733</v>
      </c>
      <c r="E389" s="24"/>
      <c r="F389" s="22" t="s">
        <v>18</v>
      </c>
      <c r="G389" s="117"/>
      <c r="H389" s="29"/>
      <c r="I389" s="30">
        <f>I387+I388</f>
        <v>54993.16</v>
      </c>
      <c r="J389" s="26">
        <f>I389/100000</f>
        <v>0.5499316000000001</v>
      </c>
      <c r="K389" s="111" t="s">
        <v>19</v>
      </c>
      <c r="L389" s="26">
        <f>E387/(2*(100000+I389))</f>
        <v>0.9234660742448246</v>
      </c>
      <c r="M389" s="31"/>
      <c r="Q389" s="117"/>
      <c r="R389" s="117"/>
      <c r="S389" s="117"/>
      <c r="T389" s="116"/>
    </row>
    <row r="390" spans="2:20" s="114" customFormat="1" ht="15">
      <c r="B390" s="22"/>
      <c r="C390" s="25"/>
      <c r="D390" s="26"/>
      <c r="E390" s="24"/>
      <c r="F390" s="22"/>
      <c r="G390" s="117"/>
      <c r="H390" s="29"/>
      <c r="I390" s="30"/>
      <c r="J390" s="26"/>
      <c r="K390" s="111"/>
      <c r="L390" s="26"/>
      <c r="M390" s="31"/>
      <c r="Q390" s="117"/>
      <c r="R390" s="117"/>
      <c r="S390" s="117"/>
      <c r="T390" s="116"/>
    </row>
    <row r="391" spans="1:20" s="114" customFormat="1" ht="15">
      <c r="A391" s="12"/>
      <c r="B391" s="22"/>
      <c r="C391" s="25"/>
      <c r="D391" s="26"/>
      <c r="E391" s="24"/>
      <c r="F391" s="22"/>
      <c r="G391" s="117"/>
      <c r="H391" s="29"/>
      <c r="I391" s="30"/>
      <c r="J391" s="26"/>
      <c r="K391" s="111"/>
      <c r="L391" s="26"/>
      <c r="M391" s="31"/>
      <c r="Q391" s="117"/>
      <c r="R391" s="117"/>
      <c r="S391" s="117"/>
      <c r="T391" s="116"/>
    </row>
    <row r="392" spans="1:20" s="114" customFormat="1" ht="30.75" customHeight="1">
      <c r="A392" s="130" t="s">
        <v>62</v>
      </c>
      <c r="B392" s="384" t="s">
        <v>210</v>
      </c>
      <c r="C392" s="384"/>
      <c r="D392" s="384"/>
      <c r="E392" s="384"/>
      <c r="F392" s="384"/>
      <c r="G392" s="384"/>
      <c r="H392" s="384"/>
      <c r="I392" s="384"/>
      <c r="J392" s="384"/>
      <c r="K392" s="384"/>
      <c r="L392" s="384"/>
      <c r="M392" s="384"/>
      <c r="N392" s="384"/>
      <c r="O392" s="92"/>
      <c r="P392" s="92"/>
      <c r="Q392" s="104"/>
      <c r="R392" s="104"/>
      <c r="S392" s="107"/>
      <c r="T392" s="109"/>
    </row>
    <row r="393" spans="1:22" s="114" customFormat="1" ht="15">
      <c r="A393" s="2" t="s">
        <v>0</v>
      </c>
      <c r="B393" s="3" t="s">
        <v>1</v>
      </c>
      <c r="C393" s="4" t="s">
        <v>2</v>
      </c>
      <c r="D393" s="5" t="s">
        <v>3</v>
      </c>
      <c r="E393" s="6" t="s">
        <v>4</v>
      </c>
      <c r="F393" s="3" t="s">
        <v>5</v>
      </c>
      <c r="G393" s="7" t="s">
        <v>2</v>
      </c>
      <c r="H393" s="6" t="s">
        <v>6</v>
      </c>
      <c r="I393" s="6" t="s">
        <v>7</v>
      </c>
      <c r="J393" s="8" t="s">
        <v>8</v>
      </c>
      <c r="K393" s="9" t="s">
        <v>9</v>
      </c>
      <c r="L393" s="10" t="s">
        <v>10</v>
      </c>
      <c r="M393" s="11" t="s">
        <v>11</v>
      </c>
      <c r="N393" s="103" t="s">
        <v>53</v>
      </c>
      <c r="O393" s="105" t="s">
        <v>110</v>
      </c>
      <c r="P393" s="106" t="s">
        <v>0</v>
      </c>
      <c r="Q393" s="117" t="s">
        <v>13</v>
      </c>
      <c r="R393" s="117" t="s">
        <v>70</v>
      </c>
      <c r="S393" s="111" t="s">
        <v>103</v>
      </c>
      <c r="T393" s="116" t="s">
        <v>107</v>
      </c>
      <c r="V393" s="9"/>
    </row>
    <row r="394" spans="1:22" s="114" customFormat="1" ht="15">
      <c r="A394" s="12" t="s">
        <v>92</v>
      </c>
      <c r="B394" s="65">
        <v>42010.447916666664</v>
      </c>
      <c r="C394" s="14">
        <v>111.9</v>
      </c>
      <c r="D394" s="15">
        <v>130</v>
      </c>
      <c r="E394" s="15">
        <f aca="true" t="shared" si="86" ref="E394:E423">C394*D394+11</f>
        <v>14558</v>
      </c>
      <c r="F394" s="13"/>
      <c r="G394" s="14">
        <v>135.66</v>
      </c>
      <c r="H394" s="15">
        <f aca="true" t="shared" si="87" ref="H394:H423">G394*D394</f>
        <v>17635.8</v>
      </c>
      <c r="I394" s="16">
        <f aca="true" t="shared" si="88" ref="I394:I423">H394-E394</f>
        <v>3077.7999999999993</v>
      </c>
      <c r="J394" s="19">
        <f aca="true" t="shared" si="89" ref="J394">I394/E394</f>
        <v>0.21141640335210876</v>
      </c>
      <c r="K394" s="132" t="s">
        <v>151</v>
      </c>
      <c r="L394" s="97">
        <v>123.03</v>
      </c>
      <c r="M394" s="41">
        <f aca="true" t="shared" si="90" ref="M394:M423">C394*0.93</f>
        <v>104.06700000000001</v>
      </c>
      <c r="N394" s="118">
        <v>141.88</v>
      </c>
      <c r="O394" s="121">
        <f>WORKDAY(B395,40,'Weekly Summary'!P$2:P$10)</f>
        <v>42069</v>
      </c>
      <c r="P394" s="116" t="s">
        <v>92</v>
      </c>
      <c r="Q394" s="117">
        <v>143.9</v>
      </c>
      <c r="R394" s="118">
        <f>Q394*0.855</f>
        <v>123.03450000000001</v>
      </c>
      <c r="S394" s="117">
        <f>1.11*C394</f>
        <v>124.20900000000002</v>
      </c>
      <c r="T394" s="116"/>
      <c r="V394" s="131"/>
    </row>
    <row r="395" spans="1:22" s="114" customFormat="1" ht="15">
      <c r="A395" s="12" t="s">
        <v>92</v>
      </c>
      <c r="B395" s="65">
        <v>42011.34305555555</v>
      </c>
      <c r="C395" s="14">
        <v>114.4</v>
      </c>
      <c r="D395" s="15">
        <v>75</v>
      </c>
      <c r="E395" s="15">
        <f t="shared" si="86"/>
        <v>8591</v>
      </c>
      <c r="F395" s="13"/>
      <c r="G395" s="14">
        <v>135.66</v>
      </c>
      <c r="H395" s="15">
        <f t="shared" si="87"/>
        <v>10174.5</v>
      </c>
      <c r="I395" s="16">
        <f t="shared" si="88"/>
        <v>1583.5</v>
      </c>
      <c r="J395" s="19">
        <f>I395/E395</f>
        <v>0.18432080083808636</v>
      </c>
      <c r="K395" s="132" t="s">
        <v>152</v>
      </c>
      <c r="L395" s="97">
        <v>123.03</v>
      </c>
      <c r="M395" s="41">
        <f t="shared" si="90"/>
        <v>106.39200000000001</v>
      </c>
      <c r="N395" s="118">
        <v>141.88</v>
      </c>
      <c r="O395" s="116"/>
      <c r="P395" s="116" t="s">
        <v>92</v>
      </c>
      <c r="Q395" s="117"/>
      <c r="R395" s="118"/>
      <c r="S395" s="117"/>
      <c r="T395" s="116"/>
      <c r="V395" s="131"/>
    </row>
    <row r="396" spans="1:22" s="114" customFormat="1" ht="15">
      <c r="A396" s="12" t="s">
        <v>92</v>
      </c>
      <c r="B396" s="65">
        <v>42012.39513888889</v>
      </c>
      <c r="C396" s="14">
        <v>117.75</v>
      </c>
      <c r="D396" s="15">
        <v>50</v>
      </c>
      <c r="E396" s="15">
        <f t="shared" si="86"/>
        <v>5898.5</v>
      </c>
      <c r="F396" s="13"/>
      <c r="G396" s="14">
        <v>135.66</v>
      </c>
      <c r="H396" s="15">
        <f t="shared" si="87"/>
        <v>6783</v>
      </c>
      <c r="I396" s="16">
        <f t="shared" si="88"/>
        <v>884.5</v>
      </c>
      <c r="J396" s="19">
        <f>I396/E396</f>
        <v>0.1499533779774519</v>
      </c>
      <c r="K396" s="95" t="s">
        <v>95</v>
      </c>
      <c r="L396" s="97">
        <v>123.03</v>
      </c>
      <c r="M396" s="41">
        <f t="shared" si="90"/>
        <v>109.50750000000001</v>
      </c>
      <c r="N396" s="118">
        <v>141.88</v>
      </c>
      <c r="O396" s="116"/>
      <c r="P396" s="116" t="s">
        <v>92</v>
      </c>
      <c r="Q396" s="117"/>
      <c r="R396" s="118"/>
      <c r="S396" s="117"/>
      <c r="T396" s="116"/>
      <c r="V396" s="131"/>
    </row>
    <row r="397" spans="1:22" s="114" customFormat="1" ht="15">
      <c r="A397" s="12" t="s">
        <v>92</v>
      </c>
      <c r="B397" s="65">
        <v>42061.55972222222</v>
      </c>
      <c r="C397" s="14">
        <v>131.5</v>
      </c>
      <c r="D397" s="15">
        <v>50</v>
      </c>
      <c r="E397" s="15">
        <f t="shared" si="86"/>
        <v>6586</v>
      </c>
      <c r="F397" s="13"/>
      <c r="G397" s="14">
        <v>135.66</v>
      </c>
      <c r="H397" s="15">
        <f t="shared" si="87"/>
        <v>6783</v>
      </c>
      <c r="I397" s="16">
        <f t="shared" si="88"/>
        <v>197</v>
      </c>
      <c r="J397" s="19">
        <f>I397/E397</f>
        <v>0.02991193440631643</v>
      </c>
      <c r="K397" s="95" t="s">
        <v>145</v>
      </c>
      <c r="L397" s="97">
        <v>123.03</v>
      </c>
      <c r="M397" s="41">
        <f t="shared" si="90"/>
        <v>122.295</v>
      </c>
      <c r="N397" s="118">
        <v>141.88</v>
      </c>
      <c r="O397" s="116"/>
      <c r="P397" s="116" t="s">
        <v>92</v>
      </c>
      <c r="Q397" s="117"/>
      <c r="R397" s="118"/>
      <c r="S397" s="117"/>
      <c r="T397" s="116"/>
      <c r="V397" s="131"/>
    </row>
    <row r="398" spans="1:22" s="114" customFormat="1" ht="15">
      <c r="A398" s="12" t="s">
        <v>80</v>
      </c>
      <c r="B398" s="65">
        <v>42011.30486111111</v>
      </c>
      <c r="C398" s="14">
        <v>58.02</v>
      </c>
      <c r="D398" s="15">
        <v>250</v>
      </c>
      <c r="E398" s="15">
        <f t="shared" si="86"/>
        <v>14516</v>
      </c>
      <c r="F398" s="13"/>
      <c r="G398" s="14">
        <v>73.05</v>
      </c>
      <c r="H398" s="15">
        <f t="shared" si="87"/>
        <v>18262.5</v>
      </c>
      <c r="I398" s="16">
        <f t="shared" si="88"/>
        <v>3746.5</v>
      </c>
      <c r="J398" s="19">
        <f aca="true" t="shared" si="91" ref="J398:J402">I398/E398</f>
        <v>0.2580945163957013</v>
      </c>
      <c r="K398" s="95" t="s">
        <v>81</v>
      </c>
      <c r="L398" s="97">
        <v>63.48</v>
      </c>
      <c r="M398" s="41">
        <f t="shared" si="90"/>
        <v>53.958600000000004</v>
      </c>
      <c r="N398" s="118">
        <v>76.6</v>
      </c>
      <c r="O398" s="121">
        <v>42090</v>
      </c>
      <c r="P398" s="116" t="s">
        <v>80</v>
      </c>
      <c r="Q398" s="117">
        <v>74.25</v>
      </c>
      <c r="R398" s="118">
        <f>Q398*0.855</f>
        <v>63.48375</v>
      </c>
      <c r="S398" s="117">
        <f>1.11*C398</f>
        <v>64.40220000000001</v>
      </c>
      <c r="T398" s="116"/>
      <c r="V398" s="131"/>
    </row>
    <row r="399" spans="1:22" s="114" customFormat="1" ht="15">
      <c r="A399" s="12" t="s">
        <v>80</v>
      </c>
      <c r="B399" s="65">
        <v>42011.40694444445</v>
      </c>
      <c r="C399" s="14">
        <v>59.16</v>
      </c>
      <c r="D399" s="15">
        <v>150</v>
      </c>
      <c r="E399" s="15">
        <f t="shared" si="86"/>
        <v>8885</v>
      </c>
      <c r="F399" s="13"/>
      <c r="G399" s="14">
        <v>73.05</v>
      </c>
      <c r="H399" s="15">
        <f t="shared" si="87"/>
        <v>10957.5</v>
      </c>
      <c r="I399" s="16">
        <f t="shared" si="88"/>
        <v>2072.5</v>
      </c>
      <c r="J399" s="122">
        <f t="shared" si="91"/>
        <v>0.2332583005064716</v>
      </c>
      <c r="K399" s="95" t="s">
        <v>82</v>
      </c>
      <c r="L399" s="97">
        <v>63.48</v>
      </c>
      <c r="M399" s="41">
        <f t="shared" si="90"/>
        <v>55.0188</v>
      </c>
      <c r="N399" s="118">
        <v>77.93</v>
      </c>
      <c r="O399" s="116"/>
      <c r="P399" s="116" t="s">
        <v>80</v>
      </c>
      <c r="Q399" s="117"/>
      <c r="R399" s="118"/>
      <c r="S399" s="117"/>
      <c r="T399" s="116"/>
      <c r="V399" s="131"/>
    </row>
    <row r="400" spans="1:22" s="114" customFormat="1" ht="15">
      <c r="A400" s="12" t="s">
        <v>80</v>
      </c>
      <c r="B400" s="65">
        <v>42012.29305555556</v>
      </c>
      <c r="C400" s="14">
        <v>60.3</v>
      </c>
      <c r="D400" s="15">
        <v>100</v>
      </c>
      <c r="E400" s="15">
        <f t="shared" si="86"/>
        <v>6041</v>
      </c>
      <c r="F400" s="13"/>
      <c r="G400" s="14">
        <v>73.05</v>
      </c>
      <c r="H400" s="15">
        <f t="shared" si="87"/>
        <v>7305</v>
      </c>
      <c r="I400" s="16">
        <f t="shared" si="88"/>
        <v>1264</v>
      </c>
      <c r="J400" s="19">
        <f t="shared" si="91"/>
        <v>0.2092368813110412</v>
      </c>
      <c r="K400" s="95" t="s">
        <v>83</v>
      </c>
      <c r="L400" s="97">
        <v>63.48</v>
      </c>
      <c r="M400" s="41">
        <f t="shared" si="90"/>
        <v>56.079</v>
      </c>
      <c r="N400" s="118">
        <v>77.93</v>
      </c>
      <c r="O400" s="116"/>
      <c r="P400" s="116" t="s">
        <v>80</v>
      </c>
      <c r="Q400" s="117"/>
      <c r="R400" s="118"/>
      <c r="S400" s="117"/>
      <c r="T400" s="116"/>
      <c r="V400" s="131"/>
    </row>
    <row r="401" spans="1:22" s="114" customFormat="1" ht="15">
      <c r="A401" s="12" t="s">
        <v>80</v>
      </c>
      <c r="B401" s="65">
        <v>42047.271527777775</v>
      </c>
      <c r="C401" s="14">
        <v>64.65</v>
      </c>
      <c r="D401" s="15">
        <v>100</v>
      </c>
      <c r="E401" s="15">
        <f t="shared" si="86"/>
        <v>6476.000000000001</v>
      </c>
      <c r="F401" s="13"/>
      <c r="G401" s="14">
        <v>73.05</v>
      </c>
      <c r="H401" s="15">
        <f t="shared" si="87"/>
        <v>7305</v>
      </c>
      <c r="I401" s="16">
        <f t="shared" si="88"/>
        <v>828.9999999999991</v>
      </c>
      <c r="J401" s="19">
        <f t="shared" si="91"/>
        <v>0.1280111179740579</v>
      </c>
      <c r="K401" s="95" t="s">
        <v>132</v>
      </c>
      <c r="L401" s="97">
        <v>63.48</v>
      </c>
      <c r="M401" s="41">
        <f t="shared" si="90"/>
        <v>60.12450000000001</v>
      </c>
      <c r="N401" s="118">
        <v>77.93</v>
      </c>
      <c r="O401" s="116"/>
      <c r="P401" s="116" t="s">
        <v>80</v>
      </c>
      <c r="Q401" s="117"/>
      <c r="R401" s="118"/>
      <c r="S401" s="117"/>
      <c r="T401" s="116"/>
      <c r="V401" s="131"/>
    </row>
    <row r="402" spans="1:22" s="114" customFormat="1" ht="15">
      <c r="A402" s="12" t="s">
        <v>80</v>
      </c>
      <c r="B402" s="65">
        <v>42081.34097222222</v>
      </c>
      <c r="C402" s="14">
        <v>70</v>
      </c>
      <c r="D402" s="15">
        <v>120</v>
      </c>
      <c r="E402" s="15">
        <f t="shared" si="86"/>
        <v>8411</v>
      </c>
      <c r="F402" s="13"/>
      <c r="G402" s="14">
        <v>73.05</v>
      </c>
      <c r="H402" s="15">
        <f t="shared" si="87"/>
        <v>8766</v>
      </c>
      <c r="I402" s="16">
        <f t="shared" si="88"/>
        <v>355</v>
      </c>
      <c r="J402" s="19">
        <f t="shared" si="91"/>
        <v>0.04220663416953989</v>
      </c>
      <c r="K402" s="95" t="s">
        <v>181</v>
      </c>
      <c r="L402" s="97"/>
      <c r="M402" s="20">
        <f t="shared" si="90"/>
        <v>65.10000000000001</v>
      </c>
      <c r="N402" s="118">
        <v>77.93</v>
      </c>
      <c r="O402" s="116"/>
      <c r="P402" s="116" t="s">
        <v>80</v>
      </c>
      <c r="Q402" s="117"/>
      <c r="R402" s="118"/>
      <c r="S402" s="117"/>
      <c r="T402" s="116"/>
      <c r="V402" s="131"/>
    </row>
    <row r="403" spans="1:20" s="114" customFormat="1" ht="15">
      <c r="A403" s="12" t="s">
        <v>61</v>
      </c>
      <c r="B403" s="65">
        <v>42040.27847222222</v>
      </c>
      <c r="C403" s="14">
        <v>132.85</v>
      </c>
      <c r="D403" s="15">
        <v>110</v>
      </c>
      <c r="E403" s="15">
        <f t="shared" si="86"/>
        <v>14624.5</v>
      </c>
      <c r="F403" s="13"/>
      <c r="G403" s="14">
        <v>151.33</v>
      </c>
      <c r="H403" s="15">
        <f t="shared" si="87"/>
        <v>16646.300000000003</v>
      </c>
      <c r="I403" s="16">
        <f t="shared" si="88"/>
        <v>2021.800000000003</v>
      </c>
      <c r="J403" s="19">
        <f aca="true" t="shared" si="92" ref="J403:J423">I403/E403</f>
        <v>0.13824746145167377</v>
      </c>
      <c r="K403" s="95" t="s">
        <v>134</v>
      </c>
      <c r="L403" s="119">
        <v>133.38</v>
      </c>
      <c r="M403" s="41">
        <f t="shared" si="90"/>
        <v>123.5505</v>
      </c>
      <c r="N403" s="118">
        <v>168.13</v>
      </c>
      <c r="O403" s="121">
        <v>42086</v>
      </c>
      <c r="P403" s="116" t="s">
        <v>61</v>
      </c>
      <c r="Q403" s="117">
        <v>156</v>
      </c>
      <c r="R403" s="118">
        <f>Q403*0.855</f>
        <v>133.38</v>
      </c>
      <c r="S403" s="117">
        <f>1.11*C403</f>
        <v>147.4635</v>
      </c>
      <c r="T403" s="116"/>
    </row>
    <row r="404" spans="1:20" s="114" customFormat="1" ht="15">
      <c r="A404" s="12" t="s">
        <v>61</v>
      </c>
      <c r="B404" s="65">
        <v>42045.27291666667</v>
      </c>
      <c r="C404" s="14">
        <v>135.9</v>
      </c>
      <c r="D404" s="15">
        <v>65</v>
      </c>
      <c r="E404" s="15">
        <f t="shared" si="86"/>
        <v>8844.5</v>
      </c>
      <c r="F404" s="13"/>
      <c r="G404" s="14">
        <v>151.33</v>
      </c>
      <c r="H404" s="15">
        <f t="shared" si="87"/>
        <v>9836.45</v>
      </c>
      <c r="I404" s="16">
        <f t="shared" si="88"/>
        <v>991.9500000000007</v>
      </c>
      <c r="J404" s="19">
        <f t="shared" si="92"/>
        <v>0.11215444626604112</v>
      </c>
      <c r="K404" s="95" t="s">
        <v>141</v>
      </c>
      <c r="L404" s="119">
        <v>133.38</v>
      </c>
      <c r="M404" s="41">
        <f t="shared" si="90"/>
        <v>126.38700000000001</v>
      </c>
      <c r="N404" s="118">
        <v>168.13</v>
      </c>
      <c r="O404" s="116"/>
      <c r="P404" s="116" t="s">
        <v>61</v>
      </c>
      <c r="Q404" s="117"/>
      <c r="R404" s="118"/>
      <c r="S404" s="117"/>
      <c r="T404" s="116"/>
    </row>
    <row r="405" spans="1:20" s="114" customFormat="1" ht="15">
      <c r="A405" s="12" t="s">
        <v>61</v>
      </c>
      <c r="B405" s="65">
        <v>42054.277083333334</v>
      </c>
      <c r="C405" s="14">
        <v>139.17</v>
      </c>
      <c r="D405" s="15">
        <v>40</v>
      </c>
      <c r="E405" s="15">
        <f t="shared" si="86"/>
        <v>5577.799999999999</v>
      </c>
      <c r="F405" s="13"/>
      <c r="G405" s="14">
        <v>151.33</v>
      </c>
      <c r="H405" s="15">
        <f t="shared" si="87"/>
        <v>6053.200000000001</v>
      </c>
      <c r="I405" s="16">
        <f t="shared" si="88"/>
        <v>475.40000000000146</v>
      </c>
      <c r="J405" s="19">
        <f t="shared" si="92"/>
        <v>0.08523073613252564</v>
      </c>
      <c r="K405" s="95" t="s">
        <v>140</v>
      </c>
      <c r="L405" s="119">
        <v>133.38</v>
      </c>
      <c r="M405" s="41">
        <f t="shared" si="90"/>
        <v>129.4281</v>
      </c>
      <c r="N405" s="118">
        <v>168.13</v>
      </c>
      <c r="O405" s="116"/>
      <c r="P405" s="116" t="s">
        <v>61</v>
      </c>
      <c r="Q405" s="117"/>
      <c r="R405" s="118"/>
      <c r="S405" s="117"/>
      <c r="T405" s="116"/>
    </row>
    <row r="406" spans="1:20" s="114" customFormat="1" ht="15">
      <c r="A406" s="12" t="s">
        <v>61</v>
      </c>
      <c r="B406" s="65">
        <v>42075.56458333333</v>
      </c>
      <c r="C406" s="14">
        <v>154</v>
      </c>
      <c r="D406" s="15">
        <v>40</v>
      </c>
      <c r="E406" s="15">
        <f t="shared" si="86"/>
        <v>6171</v>
      </c>
      <c r="F406" s="13"/>
      <c r="G406" s="14">
        <v>151.33</v>
      </c>
      <c r="H406" s="15">
        <f t="shared" si="87"/>
        <v>6053.200000000001</v>
      </c>
      <c r="I406" s="16">
        <f t="shared" si="88"/>
        <v>-117.79999999999927</v>
      </c>
      <c r="J406" s="19">
        <f t="shared" si="92"/>
        <v>-0.01908928860800507</v>
      </c>
      <c r="K406" s="95" t="s">
        <v>160</v>
      </c>
      <c r="L406" s="119"/>
      <c r="M406" s="20">
        <f t="shared" si="90"/>
        <v>143.22</v>
      </c>
      <c r="N406" s="118">
        <v>168.13</v>
      </c>
      <c r="O406" s="116"/>
      <c r="P406" s="116" t="s">
        <v>61</v>
      </c>
      <c r="Q406" s="117"/>
      <c r="R406" s="118"/>
      <c r="S406" s="117"/>
      <c r="T406" s="116"/>
    </row>
    <row r="407" spans="1:20" s="114" customFormat="1" ht="15">
      <c r="A407" s="12" t="s">
        <v>52</v>
      </c>
      <c r="B407" s="65">
        <v>42046.27361111111</v>
      </c>
      <c r="C407" s="14">
        <v>129.75</v>
      </c>
      <c r="D407" s="15">
        <v>80</v>
      </c>
      <c r="E407" s="15">
        <f t="shared" si="86"/>
        <v>10391</v>
      </c>
      <c r="F407" s="65"/>
      <c r="G407" s="14">
        <v>141.81</v>
      </c>
      <c r="H407" s="15">
        <f t="shared" si="87"/>
        <v>11344.8</v>
      </c>
      <c r="I407" s="16">
        <f t="shared" si="88"/>
        <v>953.7999999999993</v>
      </c>
      <c r="J407" s="19">
        <f t="shared" si="92"/>
        <v>0.09179097295736688</v>
      </c>
      <c r="K407" s="95" t="s">
        <v>135</v>
      </c>
      <c r="L407" s="119">
        <v>128.63</v>
      </c>
      <c r="M407" s="41">
        <f t="shared" si="90"/>
        <v>120.6675</v>
      </c>
      <c r="N407" s="118">
        <v>161.78</v>
      </c>
      <c r="O407" s="121">
        <f>WORKDAY(B407,40,'Weekly Summary'!P$2:P$10)</f>
        <v>42104</v>
      </c>
      <c r="P407" s="116" t="s">
        <v>52</v>
      </c>
      <c r="Q407" s="117">
        <v>150.44</v>
      </c>
      <c r="R407" s="118">
        <f>Q407*0.855</f>
        <v>128.62619999999998</v>
      </c>
      <c r="S407" s="117">
        <f>1.11*C407</f>
        <v>144.0225</v>
      </c>
      <c r="T407" s="116"/>
    </row>
    <row r="408" spans="1:20" s="114" customFormat="1" ht="15">
      <c r="A408" s="12" t="s">
        <v>52</v>
      </c>
      <c r="B408" s="65">
        <v>42047.275</v>
      </c>
      <c r="C408" s="14">
        <v>133.95</v>
      </c>
      <c r="D408" s="15">
        <v>45</v>
      </c>
      <c r="E408" s="15">
        <f t="shared" si="86"/>
        <v>6038.749999999999</v>
      </c>
      <c r="F408" s="13"/>
      <c r="G408" s="14">
        <v>141.81</v>
      </c>
      <c r="H408" s="15">
        <f t="shared" si="87"/>
        <v>6381.45</v>
      </c>
      <c r="I408" s="16">
        <f t="shared" si="88"/>
        <v>342.7000000000007</v>
      </c>
      <c r="J408" s="19">
        <f t="shared" si="92"/>
        <v>0.05675015524736093</v>
      </c>
      <c r="K408" s="95" t="s">
        <v>136</v>
      </c>
      <c r="L408" s="119">
        <v>128.63</v>
      </c>
      <c r="M408" s="41">
        <f t="shared" si="90"/>
        <v>124.5735</v>
      </c>
      <c r="N408" s="118">
        <v>161.78</v>
      </c>
      <c r="O408" s="116"/>
      <c r="P408" s="116" t="s">
        <v>52</v>
      </c>
      <c r="Q408" s="117"/>
      <c r="R408" s="118"/>
      <c r="S408" s="117"/>
      <c r="T408" s="116"/>
    </row>
    <row r="409" spans="1:20" s="114" customFormat="1" ht="15">
      <c r="A409" s="12" t="s">
        <v>52</v>
      </c>
      <c r="B409" s="65">
        <v>42048.450694444444</v>
      </c>
      <c r="C409" s="14">
        <v>135.8</v>
      </c>
      <c r="D409" s="15">
        <v>30</v>
      </c>
      <c r="E409" s="15">
        <f t="shared" si="86"/>
        <v>4085.0000000000005</v>
      </c>
      <c r="F409" s="13"/>
      <c r="G409" s="14">
        <v>141.81</v>
      </c>
      <c r="H409" s="15">
        <f t="shared" si="87"/>
        <v>4254.3</v>
      </c>
      <c r="I409" s="16">
        <f t="shared" si="88"/>
        <v>169.29999999999973</v>
      </c>
      <c r="J409" s="19">
        <f t="shared" si="92"/>
        <v>0.04144430844553237</v>
      </c>
      <c r="K409" s="95" t="s">
        <v>143</v>
      </c>
      <c r="L409" s="119">
        <v>128.63</v>
      </c>
      <c r="M409" s="41">
        <f t="shared" si="90"/>
        <v>126.29400000000001</v>
      </c>
      <c r="N409" s="118">
        <v>161.78</v>
      </c>
      <c r="O409" s="116"/>
      <c r="P409" s="116" t="s">
        <v>52</v>
      </c>
      <c r="Q409" s="117"/>
      <c r="R409" s="118"/>
      <c r="S409" s="117"/>
      <c r="T409" s="116"/>
    </row>
    <row r="410" spans="1:20" s="114" customFormat="1" ht="15">
      <c r="A410" s="12" t="s">
        <v>52</v>
      </c>
      <c r="B410" s="65">
        <v>42074.29027777778</v>
      </c>
      <c r="C410" s="14">
        <v>140.55</v>
      </c>
      <c r="D410" s="15">
        <v>30</v>
      </c>
      <c r="E410" s="15">
        <f t="shared" si="86"/>
        <v>4227.5</v>
      </c>
      <c r="F410" s="13"/>
      <c r="G410" s="14">
        <v>141.81</v>
      </c>
      <c r="H410" s="15">
        <f t="shared" si="87"/>
        <v>4254.3</v>
      </c>
      <c r="I410" s="16">
        <f t="shared" si="88"/>
        <v>26.800000000000182</v>
      </c>
      <c r="J410" s="19">
        <f t="shared" si="92"/>
        <v>0.00633944411590779</v>
      </c>
      <c r="K410" s="95" t="s">
        <v>182</v>
      </c>
      <c r="L410" s="119"/>
      <c r="M410" s="20">
        <f t="shared" si="90"/>
        <v>130.71150000000003</v>
      </c>
      <c r="N410" s="118">
        <v>161.78</v>
      </c>
      <c r="O410" s="116"/>
      <c r="P410" s="116" t="s">
        <v>52</v>
      </c>
      <c r="Q410" s="117"/>
      <c r="R410" s="118"/>
      <c r="S410" s="117"/>
      <c r="T410" s="116"/>
    </row>
    <row r="411" spans="1:20" s="114" customFormat="1" ht="15">
      <c r="A411" s="85" t="s">
        <v>52</v>
      </c>
      <c r="B411" s="65">
        <v>42093.27638888889</v>
      </c>
      <c r="C411" s="14">
        <v>149.29</v>
      </c>
      <c r="D411" s="15">
        <v>40</v>
      </c>
      <c r="E411" s="15">
        <f t="shared" si="86"/>
        <v>5982.599999999999</v>
      </c>
      <c r="F411" s="13"/>
      <c r="G411" s="14">
        <v>141.81</v>
      </c>
      <c r="H411" s="15">
        <f t="shared" si="87"/>
        <v>5672.4</v>
      </c>
      <c r="I411" s="16">
        <f t="shared" si="88"/>
        <v>-310.1999999999998</v>
      </c>
      <c r="J411" s="19">
        <f t="shared" si="92"/>
        <v>-0.05185036606157855</v>
      </c>
      <c r="K411" s="95" t="s">
        <v>213</v>
      </c>
      <c r="L411" s="119"/>
      <c r="M411" s="20">
        <f t="shared" si="90"/>
        <v>138.8397</v>
      </c>
      <c r="N411" s="118">
        <v>161.78</v>
      </c>
      <c r="O411" s="116"/>
      <c r="P411" s="116" t="s">
        <v>52</v>
      </c>
      <c r="Q411" s="117"/>
      <c r="R411" s="118"/>
      <c r="S411" s="117"/>
      <c r="T411" s="116"/>
    </row>
    <row r="412" spans="1:20" s="114" customFormat="1" ht="15">
      <c r="A412" s="12" t="s">
        <v>39</v>
      </c>
      <c r="B412" s="65">
        <v>42062.53680555556</v>
      </c>
      <c r="C412" s="14">
        <v>57.65</v>
      </c>
      <c r="D412" s="15">
        <v>100</v>
      </c>
      <c r="E412" s="15">
        <f t="shared" si="86"/>
        <v>5776</v>
      </c>
      <c r="F412" s="13"/>
      <c r="G412" s="14">
        <v>74</v>
      </c>
      <c r="H412" s="15">
        <f t="shared" si="87"/>
        <v>7400</v>
      </c>
      <c r="I412" s="16">
        <f t="shared" si="88"/>
        <v>1624</v>
      </c>
      <c r="J412" s="19">
        <f t="shared" si="92"/>
        <v>0.28116343490304707</v>
      </c>
      <c r="K412" s="95" t="s">
        <v>149</v>
      </c>
      <c r="L412" s="119">
        <v>66.17</v>
      </c>
      <c r="M412" s="41">
        <f t="shared" si="90"/>
        <v>53.6145</v>
      </c>
      <c r="N412" s="118">
        <v>79</v>
      </c>
      <c r="O412" s="121">
        <v>42124</v>
      </c>
      <c r="P412" s="116" t="s">
        <v>39</v>
      </c>
      <c r="Q412" s="117">
        <v>77.39</v>
      </c>
      <c r="R412" s="118">
        <f>Q412*0.855</f>
        <v>66.16844999999999</v>
      </c>
      <c r="S412" s="117">
        <f>1.11*C412</f>
        <v>63.9915</v>
      </c>
      <c r="T412" s="116"/>
    </row>
    <row r="413" spans="1:20" s="114" customFormat="1" ht="15">
      <c r="A413" s="12" t="s">
        <v>39</v>
      </c>
      <c r="B413" s="65">
        <v>42073.322916666664</v>
      </c>
      <c r="C413" s="14">
        <v>65.15</v>
      </c>
      <c r="D413" s="15">
        <v>350</v>
      </c>
      <c r="E413" s="15">
        <f t="shared" si="86"/>
        <v>22813.500000000004</v>
      </c>
      <c r="F413" s="13"/>
      <c r="G413" s="14">
        <v>74</v>
      </c>
      <c r="H413" s="15">
        <f t="shared" si="87"/>
        <v>25900</v>
      </c>
      <c r="I413" s="16">
        <f t="shared" si="88"/>
        <v>3086.4999999999964</v>
      </c>
      <c r="J413" s="19">
        <f t="shared" si="92"/>
        <v>0.13529269949810402</v>
      </c>
      <c r="K413" s="95" t="s">
        <v>164</v>
      </c>
      <c r="L413" s="119">
        <v>66.17</v>
      </c>
      <c r="M413" s="41">
        <f t="shared" si="90"/>
        <v>60.58950000000001</v>
      </c>
      <c r="N413" s="118">
        <v>79</v>
      </c>
      <c r="O413" s="116"/>
      <c r="P413" s="116" t="s">
        <v>39</v>
      </c>
      <c r="Q413" s="117"/>
      <c r="R413" s="118"/>
      <c r="S413" s="117"/>
      <c r="T413" s="116"/>
    </row>
    <row r="414" spans="1:20" s="114" customFormat="1" ht="15">
      <c r="A414" s="12" t="s">
        <v>39</v>
      </c>
      <c r="B414" s="65">
        <v>42073.35555555556</v>
      </c>
      <c r="C414" s="14">
        <v>66.15</v>
      </c>
      <c r="D414" s="15">
        <v>110</v>
      </c>
      <c r="E414" s="15">
        <f t="shared" si="86"/>
        <v>7287.500000000001</v>
      </c>
      <c r="F414" s="13"/>
      <c r="G414" s="14">
        <v>74</v>
      </c>
      <c r="H414" s="15">
        <f t="shared" si="87"/>
        <v>8140</v>
      </c>
      <c r="I414" s="16">
        <f t="shared" si="88"/>
        <v>852.4999999999991</v>
      </c>
      <c r="J414" s="19">
        <f t="shared" si="92"/>
        <v>0.11698113207547156</v>
      </c>
      <c r="K414" s="95" t="s">
        <v>165</v>
      </c>
      <c r="L414" s="119">
        <v>66.17</v>
      </c>
      <c r="M414" s="41">
        <f t="shared" si="90"/>
        <v>61.51950000000001</v>
      </c>
      <c r="N414" s="118">
        <v>79</v>
      </c>
      <c r="O414" s="116"/>
      <c r="P414" s="116" t="s">
        <v>39</v>
      </c>
      <c r="Q414" s="117"/>
      <c r="R414" s="118"/>
      <c r="S414" s="117"/>
      <c r="T414" s="116"/>
    </row>
    <row r="415" spans="1:20" s="114" customFormat="1" ht="15">
      <c r="A415" s="85" t="s">
        <v>39</v>
      </c>
      <c r="B415" s="65">
        <v>42093.34375</v>
      </c>
      <c r="C415" s="14">
        <v>73.37</v>
      </c>
      <c r="D415" s="15">
        <v>110</v>
      </c>
      <c r="E415" s="15">
        <f t="shared" si="86"/>
        <v>8081.700000000001</v>
      </c>
      <c r="F415" s="13"/>
      <c r="G415" s="14">
        <v>74</v>
      </c>
      <c r="H415" s="15">
        <f t="shared" si="87"/>
        <v>8140</v>
      </c>
      <c r="I415" s="16">
        <f t="shared" si="88"/>
        <v>58.29999999999927</v>
      </c>
      <c r="J415" s="19">
        <f t="shared" si="92"/>
        <v>0.0072138287736490175</v>
      </c>
      <c r="K415" s="95" t="s">
        <v>214</v>
      </c>
      <c r="L415" s="119"/>
      <c r="M415" s="20">
        <f t="shared" si="90"/>
        <v>68.23410000000001</v>
      </c>
      <c r="N415" s="118">
        <v>79</v>
      </c>
      <c r="O415" s="116"/>
      <c r="P415" s="116" t="s">
        <v>39</v>
      </c>
      <c r="Q415" s="117"/>
      <c r="R415" s="118"/>
      <c r="S415" s="117"/>
      <c r="T415" s="116"/>
    </row>
    <row r="416" spans="1:20" s="114" customFormat="1" ht="15">
      <c r="A416" s="12" t="s">
        <v>169</v>
      </c>
      <c r="B416" s="65">
        <v>42076.538194444445</v>
      </c>
      <c r="C416" s="14">
        <v>56.64</v>
      </c>
      <c r="D416" s="15">
        <v>320</v>
      </c>
      <c r="E416" s="15">
        <f t="shared" si="86"/>
        <v>18135.8</v>
      </c>
      <c r="F416" s="13"/>
      <c r="G416" s="14">
        <v>57.24</v>
      </c>
      <c r="H416" s="15">
        <f t="shared" si="87"/>
        <v>18316.8</v>
      </c>
      <c r="I416" s="16">
        <f t="shared" si="88"/>
        <v>181</v>
      </c>
      <c r="J416" s="19">
        <f t="shared" si="92"/>
        <v>0.009980260038156575</v>
      </c>
      <c r="K416" s="95" t="s">
        <v>170</v>
      </c>
      <c r="L416" s="119"/>
      <c r="M416" s="20">
        <f t="shared" si="90"/>
        <v>52.675200000000004</v>
      </c>
      <c r="N416" s="118">
        <v>71.25</v>
      </c>
      <c r="O416" s="121">
        <v>42132</v>
      </c>
      <c r="P416" s="116" t="s">
        <v>169</v>
      </c>
      <c r="Q416" s="117"/>
      <c r="R416" s="118"/>
      <c r="S416" s="117">
        <f>1.11*C416</f>
        <v>62.870400000000004</v>
      </c>
      <c r="T416" s="116"/>
    </row>
    <row r="417" spans="1:20" s="114" customFormat="1" ht="15">
      <c r="A417" s="12" t="s">
        <v>169</v>
      </c>
      <c r="B417" s="65">
        <v>42082.302777777775</v>
      </c>
      <c r="C417" s="14">
        <v>57.9</v>
      </c>
      <c r="D417" s="15">
        <v>190</v>
      </c>
      <c r="E417" s="15">
        <f t="shared" si="86"/>
        <v>11012</v>
      </c>
      <c r="F417" s="13"/>
      <c r="G417" s="14">
        <v>57.24</v>
      </c>
      <c r="H417" s="15">
        <f t="shared" si="87"/>
        <v>10875.6</v>
      </c>
      <c r="I417" s="16">
        <f t="shared" si="88"/>
        <v>-136.39999999999964</v>
      </c>
      <c r="J417" s="19">
        <f t="shared" si="92"/>
        <v>-0.012386487468216459</v>
      </c>
      <c r="K417" s="95" t="s">
        <v>189</v>
      </c>
      <c r="L417" s="119"/>
      <c r="M417" s="20">
        <f t="shared" si="90"/>
        <v>53.847</v>
      </c>
      <c r="N417" s="118">
        <v>71.25</v>
      </c>
      <c r="O417" s="116"/>
      <c r="P417" s="116" t="s">
        <v>169</v>
      </c>
      <c r="Q417" s="117"/>
      <c r="R417" s="118"/>
      <c r="S417" s="117"/>
      <c r="T417" s="116"/>
    </row>
    <row r="418" spans="1:20" s="114" customFormat="1" ht="15">
      <c r="A418" s="12" t="s">
        <v>45</v>
      </c>
      <c r="B418" s="65">
        <v>42080.325694444444</v>
      </c>
      <c r="C418" s="14">
        <v>20.12</v>
      </c>
      <c r="D418" s="15">
        <v>1000</v>
      </c>
      <c r="E418" s="15">
        <f t="shared" si="86"/>
        <v>20131</v>
      </c>
      <c r="F418" s="13"/>
      <c r="G418" s="14">
        <v>23.93</v>
      </c>
      <c r="H418" s="15">
        <f t="shared" si="87"/>
        <v>23930</v>
      </c>
      <c r="I418" s="16">
        <f t="shared" si="88"/>
        <v>3799</v>
      </c>
      <c r="J418" s="19">
        <f t="shared" si="92"/>
        <v>0.18871392379911578</v>
      </c>
      <c r="K418" s="95" t="s">
        <v>186</v>
      </c>
      <c r="L418" s="119"/>
      <c r="M418" s="20">
        <f t="shared" si="90"/>
        <v>18.7116</v>
      </c>
      <c r="N418" s="118">
        <v>29.23</v>
      </c>
      <c r="O418" s="121">
        <v>42159</v>
      </c>
      <c r="P418" s="116" t="s">
        <v>45</v>
      </c>
      <c r="Q418" s="117"/>
      <c r="R418" s="118"/>
      <c r="S418" s="117">
        <f>1.11*C418</f>
        <v>22.3332</v>
      </c>
      <c r="T418" s="116"/>
    </row>
    <row r="419" spans="1:20" s="114" customFormat="1" ht="15">
      <c r="A419" s="12" t="s">
        <v>45</v>
      </c>
      <c r="B419" s="65">
        <v>42081.30972222222</v>
      </c>
      <c r="C419" s="14">
        <v>21.46</v>
      </c>
      <c r="D419" s="15">
        <v>500</v>
      </c>
      <c r="E419" s="15">
        <f t="shared" si="86"/>
        <v>10741</v>
      </c>
      <c r="F419" s="13"/>
      <c r="G419" s="14">
        <v>23.93</v>
      </c>
      <c r="H419" s="15">
        <f t="shared" si="87"/>
        <v>11965</v>
      </c>
      <c r="I419" s="16">
        <f t="shared" si="88"/>
        <v>1224</v>
      </c>
      <c r="J419" s="19">
        <f t="shared" si="92"/>
        <v>0.1139558700307234</v>
      </c>
      <c r="K419" s="95" t="s">
        <v>198</v>
      </c>
      <c r="L419" s="119"/>
      <c r="M419" s="20">
        <f t="shared" si="90"/>
        <v>19.957800000000002</v>
      </c>
      <c r="N419" s="118">
        <v>29.23</v>
      </c>
      <c r="O419" s="116"/>
      <c r="P419" s="116" t="s">
        <v>45</v>
      </c>
      <c r="Q419" s="117"/>
      <c r="R419" s="118"/>
      <c r="S419" s="117"/>
      <c r="T419" s="116"/>
    </row>
    <row r="420" spans="1:20" s="114" customFormat="1" ht="15">
      <c r="A420" s="12" t="s">
        <v>45</v>
      </c>
      <c r="B420" s="65">
        <v>42082.32986111111</v>
      </c>
      <c r="C420" s="14">
        <v>23.1</v>
      </c>
      <c r="D420" s="15">
        <v>780</v>
      </c>
      <c r="E420" s="15">
        <f t="shared" si="86"/>
        <v>18029</v>
      </c>
      <c r="F420" s="13"/>
      <c r="G420" s="14">
        <v>23.93</v>
      </c>
      <c r="H420" s="15">
        <f t="shared" si="87"/>
        <v>18665.4</v>
      </c>
      <c r="I420" s="16">
        <f t="shared" si="88"/>
        <v>636.4000000000015</v>
      </c>
      <c r="J420" s="19">
        <f t="shared" si="92"/>
        <v>0.03529868545121757</v>
      </c>
      <c r="K420" s="95" t="s">
        <v>188</v>
      </c>
      <c r="L420" s="119"/>
      <c r="M420" s="20">
        <f t="shared" si="90"/>
        <v>21.483000000000004</v>
      </c>
      <c r="N420" s="118">
        <v>29.23</v>
      </c>
      <c r="O420" s="116"/>
      <c r="P420" s="116" t="s">
        <v>45</v>
      </c>
      <c r="Q420" s="117"/>
      <c r="R420" s="118"/>
      <c r="S420" s="117"/>
      <c r="T420" s="116"/>
    </row>
    <row r="421" spans="1:20" s="114" customFormat="1" ht="15">
      <c r="A421" s="12" t="s">
        <v>45</v>
      </c>
      <c r="B421" s="65">
        <v>42090.27291666667</v>
      </c>
      <c r="C421" s="14">
        <v>23.65</v>
      </c>
      <c r="D421" s="15">
        <v>510</v>
      </c>
      <c r="E421" s="15">
        <f t="shared" si="86"/>
        <v>12072.5</v>
      </c>
      <c r="F421" s="13"/>
      <c r="G421" s="14">
        <v>23.93</v>
      </c>
      <c r="H421" s="15">
        <f t="shared" si="87"/>
        <v>12204.3</v>
      </c>
      <c r="I421" s="16">
        <f t="shared" si="88"/>
        <v>131.79999999999927</v>
      </c>
      <c r="J421" s="19">
        <f t="shared" si="92"/>
        <v>0.01091737419755637</v>
      </c>
      <c r="K421" s="95" t="s">
        <v>199</v>
      </c>
      <c r="L421" s="119"/>
      <c r="M421" s="20">
        <f t="shared" si="90"/>
        <v>21.9945</v>
      </c>
      <c r="N421" s="118">
        <v>29.23</v>
      </c>
      <c r="O421" s="116"/>
      <c r="P421" s="116" t="s">
        <v>45</v>
      </c>
      <c r="Q421" s="117"/>
      <c r="R421" s="118"/>
      <c r="S421" s="117"/>
      <c r="T421" s="116"/>
    </row>
    <row r="422" spans="1:20" s="114" customFormat="1" ht="15">
      <c r="A422" s="12" t="s">
        <v>208</v>
      </c>
      <c r="B422" s="65">
        <v>42090.308333333334</v>
      </c>
      <c r="C422" s="14">
        <v>214</v>
      </c>
      <c r="D422" s="15">
        <v>95</v>
      </c>
      <c r="E422" s="15">
        <f t="shared" si="86"/>
        <v>20341</v>
      </c>
      <c r="F422" s="13"/>
      <c r="G422" s="14">
        <v>215.58</v>
      </c>
      <c r="H422" s="15">
        <f t="shared" si="87"/>
        <v>20480.100000000002</v>
      </c>
      <c r="I422" s="16">
        <f t="shared" si="88"/>
        <v>139.10000000000218</v>
      </c>
      <c r="J422" s="19">
        <f t="shared" si="92"/>
        <v>0.006838405191485285</v>
      </c>
      <c r="K422" s="95" t="s">
        <v>212</v>
      </c>
      <c r="L422" s="119"/>
      <c r="M422" s="20">
        <f t="shared" si="90"/>
        <v>199.02</v>
      </c>
      <c r="N422" s="118">
        <v>267.7</v>
      </c>
      <c r="O422" s="121">
        <v>42136</v>
      </c>
      <c r="P422" s="116" t="s">
        <v>208</v>
      </c>
      <c r="Q422" s="117"/>
      <c r="R422" s="118"/>
      <c r="S422" s="117"/>
      <c r="T422" s="116"/>
    </row>
    <row r="423" spans="1:20" s="114" customFormat="1" ht="15">
      <c r="A423" s="85" t="s">
        <v>208</v>
      </c>
      <c r="B423" s="65">
        <v>42093.29305555556</v>
      </c>
      <c r="C423" s="14">
        <v>219.41</v>
      </c>
      <c r="D423" s="15">
        <v>55</v>
      </c>
      <c r="E423" s="15">
        <f t="shared" si="86"/>
        <v>12078.55</v>
      </c>
      <c r="F423" s="13"/>
      <c r="G423" s="14">
        <v>215.58</v>
      </c>
      <c r="H423" s="15">
        <f t="shared" si="87"/>
        <v>11856.900000000001</v>
      </c>
      <c r="I423" s="16">
        <f t="shared" si="88"/>
        <v>-221.64999999999782</v>
      </c>
      <c r="J423" s="19">
        <f t="shared" si="92"/>
        <v>-0.018350712626929378</v>
      </c>
      <c r="K423" s="95" t="s">
        <v>211</v>
      </c>
      <c r="L423" s="119"/>
      <c r="M423" s="20">
        <f t="shared" si="90"/>
        <v>204.0513</v>
      </c>
      <c r="N423" s="118">
        <v>267.7</v>
      </c>
      <c r="O423" s="116"/>
      <c r="P423" s="116" t="s">
        <v>208</v>
      </c>
      <c r="Q423" s="117"/>
      <c r="R423" s="118"/>
      <c r="S423" s="117"/>
      <c r="T423" s="116"/>
    </row>
    <row r="424" spans="1:20" s="114" customFormat="1" ht="15">
      <c r="A424" s="12"/>
      <c r="B424" s="13"/>
      <c r="C424" s="14"/>
      <c r="D424" s="15"/>
      <c r="E424" s="15"/>
      <c r="F424" s="13"/>
      <c r="G424" s="14"/>
      <c r="H424" s="15"/>
      <c r="I424" s="16"/>
      <c r="J424" s="19"/>
      <c r="K424" s="95"/>
      <c r="L424" s="119"/>
      <c r="M424" s="32"/>
      <c r="N424" s="118"/>
      <c r="Q424" s="117"/>
      <c r="R424" s="117"/>
      <c r="S424" s="117"/>
      <c r="T424" s="116"/>
    </row>
    <row r="425" spans="1:20" s="114" customFormat="1" ht="15">
      <c r="A425" s="21" t="s">
        <v>14</v>
      </c>
      <c r="B425" s="22"/>
      <c r="C425" s="23"/>
      <c r="D425" s="24"/>
      <c r="E425" s="24">
        <f>SUM(E394:E424)</f>
        <v>312404.7</v>
      </c>
      <c r="F425" s="22"/>
      <c r="G425" s="23"/>
      <c r="H425" s="24">
        <f>SUM(H394:H424)</f>
        <v>342342.8</v>
      </c>
      <c r="I425" s="25">
        <f>SUM(I394:I424)</f>
        <v>29938.100000000002</v>
      </c>
      <c r="J425" s="26">
        <f>I425/E425</f>
        <v>0.0958311446658773</v>
      </c>
      <c r="K425" s="27" t="s">
        <v>15</v>
      </c>
      <c r="L425" s="28">
        <f>100000+I427</f>
        <v>158167.16</v>
      </c>
      <c r="M425" s="81"/>
      <c r="N425" s="89"/>
      <c r="Q425" s="117"/>
      <c r="R425" s="117"/>
      <c r="S425" s="117"/>
      <c r="T425" s="116"/>
    </row>
    <row r="426" spans="1:20" s="114" customFormat="1" ht="15">
      <c r="A426" s="12" t="s">
        <v>67</v>
      </c>
      <c r="B426" s="22"/>
      <c r="C426" s="25">
        <f>I427-I389</f>
        <v>3174</v>
      </c>
      <c r="D426" s="26">
        <f>C426/H387</f>
        <v>0.010139734421379441</v>
      </c>
      <c r="E426" s="24"/>
      <c r="F426" s="22" t="s">
        <v>16</v>
      </c>
      <c r="G426" s="117"/>
      <c r="H426" s="29" t="str">
        <f>IF(ABS(H425-E425-I425)&lt;1,"","ERROR")</f>
        <v/>
      </c>
      <c r="I426" s="30">
        <v>28229.06</v>
      </c>
      <c r="J426" s="26"/>
      <c r="K426" s="111" t="s">
        <v>17</v>
      </c>
      <c r="L426" s="28">
        <f>(2*(100000+I427))-E425</f>
        <v>3929.6199999999953</v>
      </c>
      <c r="M426" s="31"/>
      <c r="Q426" s="117"/>
      <c r="R426" s="117"/>
      <c r="S426" s="117"/>
      <c r="T426" s="116"/>
    </row>
    <row r="427" spans="1:20" s="114" customFormat="1" ht="15">
      <c r="A427" s="12" t="s">
        <v>54</v>
      </c>
      <c r="B427" s="22"/>
      <c r="C427" s="25">
        <f>L425-L387</f>
        <v>3174</v>
      </c>
      <c r="D427" s="26">
        <f>C427/L387</f>
        <v>0.020478323043416884</v>
      </c>
      <c r="E427" s="24"/>
      <c r="F427" s="22" t="s">
        <v>18</v>
      </c>
      <c r="G427" s="117"/>
      <c r="H427" s="29"/>
      <c r="I427" s="30">
        <f>I425+I426</f>
        <v>58167.16</v>
      </c>
      <c r="J427" s="26">
        <f>I427/100000</f>
        <v>0.5816716000000001</v>
      </c>
      <c r="K427" s="111" t="s">
        <v>19</v>
      </c>
      <c r="L427" s="26">
        <f>E425/(2*(100000+I427))</f>
        <v>0.987577636217278</v>
      </c>
      <c r="M427" s="31"/>
      <c r="Q427" s="117"/>
      <c r="R427" s="117"/>
      <c r="S427" s="117"/>
      <c r="T427" s="116"/>
    </row>
    <row r="428" spans="2:20" s="114" customFormat="1" ht="15">
      <c r="B428" s="22"/>
      <c r="C428" s="25"/>
      <c r="D428" s="26"/>
      <c r="E428" s="24"/>
      <c r="F428" s="22"/>
      <c r="G428" s="117"/>
      <c r="H428" s="29"/>
      <c r="I428" s="30"/>
      <c r="J428" s="26"/>
      <c r="K428" s="111"/>
      <c r="L428" s="26"/>
      <c r="M428" s="31"/>
      <c r="Q428" s="117"/>
      <c r="R428" s="117"/>
      <c r="S428" s="117"/>
      <c r="T428" s="116"/>
    </row>
    <row r="429" spans="1:20" s="114" customFormat="1" ht="15">
      <c r="A429" s="12"/>
      <c r="B429" s="22"/>
      <c r="C429" s="25"/>
      <c r="D429" s="26"/>
      <c r="E429" s="24"/>
      <c r="F429" s="22"/>
      <c r="G429" s="117"/>
      <c r="H429" s="29"/>
      <c r="I429" s="30"/>
      <c r="J429" s="26"/>
      <c r="K429" s="111"/>
      <c r="L429" s="26"/>
      <c r="M429" s="31"/>
      <c r="Q429" s="117"/>
      <c r="R429" s="117"/>
      <c r="S429" s="117"/>
      <c r="T429" s="116"/>
    </row>
    <row r="430" spans="1:20" s="114" customFormat="1" ht="30.75" customHeight="1">
      <c r="A430" s="130" t="s">
        <v>62</v>
      </c>
      <c r="B430" s="384" t="s">
        <v>219</v>
      </c>
      <c r="C430" s="384"/>
      <c r="D430" s="384"/>
      <c r="E430" s="384"/>
      <c r="F430" s="384"/>
      <c r="G430" s="384"/>
      <c r="H430" s="384"/>
      <c r="I430" s="384"/>
      <c r="J430" s="384"/>
      <c r="K430" s="384"/>
      <c r="L430" s="384"/>
      <c r="M430" s="384"/>
      <c r="N430" s="384"/>
      <c r="O430" s="92"/>
      <c r="P430" s="92"/>
      <c r="Q430" s="104"/>
      <c r="R430" s="104"/>
      <c r="S430" s="107"/>
      <c r="T430" s="109"/>
    </row>
    <row r="431" spans="1:22" s="114" customFormat="1" ht="15">
      <c r="A431" s="2" t="s">
        <v>0</v>
      </c>
      <c r="B431" s="3" t="s">
        <v>1</v>
      </c>
      <c r="C431" s="4" t="s">
        <v>2</v>
      </c>
      <c r="D431" s="5" t="s">
        <v>3</v>
      </c>
      <c r="E431" s="6" t="s">
        <v>4</v>
      </c>
      <c r="F431" s="3" t="s">
        <v>5</v>
      </c>
      <c r="G431" s="7" t="s">
        <v>2</v>
      </c>
      <c r="H431" s="6" t="s">
        <v>6</v>
      </c>
      <c r="I431" s="6" t="s">
        <v>7</v>
      </c>
      <c r="J431" s="8" t="s">
        <v>8</v>
      </c>
      <c r="K431" s="9" t="s">
        <v>9</v>
      </c>
      <c r="L431" s="10" t="s">
        <v>10</v>
      </c>
      <c r="M431" s="11" t="s">
        <v>11</v>
      </c>
      <c r="N431" s="103" t="s">
        <v>53</v>
      </c>
      <c r="O431" s="105" t="s">
        <v>110</v>
      </c>
      <c r="P431" s="106" t="s">
        <v>0</v>
      </c>
      <c r="Q431" s="117" t="s">
        <v>13</v>
      </c>
      <c r="R431" s="117" t="s">
        <v>70</v>
      </c>
      <c r="S431" s="111" t="s">
        <v>103</v>
      </c>
      <c r="T431" s="116" t="s">
        <v>107</v>
      </c>
      <c r="V431" s="9"/>
    </row>
    <row r="432" spans="1:22" s="114" customFormat="1" ht="15">
      <c r="A432" s="12" t="s">
        <v>92</v>
      </c>
      <c r="B432" s="65">
        <v>42010.447916666664</v>
      </c>
      <c r="C432" s="14">
        <v>111.9</v>
      </c>
      <c r="D432" s="15">
        <v>130</v>
      </c>
      <c r="E432" s="15">
        <f aca="true" t="shared" si="93" ref="E432:E463">C432*D432+11</f>
        <v>14558</v>
      </c>
      <c r="F432" s="13"/>
      <c r="G432" s="14">
        <v>138.34</v>
      </c>
      <c r="H432" s="15">
        <f aca="true" t="shared" si="94" ref="H432:H463">G432*D432</f>
        <v>17984.2</v>
      </c>
      <c r="I432" s="16">
        <f aca="true" t="shared" si="95" ref="I432:I463">H432-E432</f>
        <v>3426.2000000000007</v>
      </c>
      <c r="J432" s="19">
        <f aca="true" t="shared" si="96" ref="J432">I432/E432</f>
        <v>0.23534826212391818</v>
      </c>
      <c r="K432" s="132" t="s">
        <v>151</v>
      </c>
      <c r="L432" s="97">
        <v>123.03</v>
      </c>
      <c r="M432" s="41">
        <f aca="true" t="shared" si="97" ref="M432:M463">C432*0.93</f>
        <v>104.06700000000001</v>
      </c>
      <c r="N432" s="118">
        <v>141.88</v>
      </c>
      <c r="O432" s="121">
        <f>WORKDAY(B433,40,'Weekly Summary'!P$2:P$10)</f>
        <v>42069</v>
      </c>
      <c r="P432" s="116" t="s">
        <v>92</v>
      </c>
      <c r="Q432" s="117">
        <v>143.9</v>
      </c>
      <c r="R432" s="118">
        <f>Q432*0.855</f>
        <v>123.03450000000001</v>
      </c>
      <c r="S432" s="117">
        <f>1.11*C432</f>
        <v>124.20900000000002</v>
      </c>
      <c r="T432" s="116"/>
      <c r="V432" s="131"/>
    </row>
    <row r="433" spans="1:22" s="114" customFormat="1" ht="15">
      <c r="A433" s="12" t="s">
        <v>92</v>
      </c>
      <c r="B433" s="65">
        <v>42011.34305555555</v>
      </c>
      <c r="C433" s="14">
        <v>114.4</v>
      </c>
      <c r="D433" s="15">
        <v>75</v>
      </c>
      <c r="E433" s="15">
        <f t="shared" si="93"/>
        <v>8591</v>
      </c>
      <c r="F433" s="13"/>
      <c r="G433" s="14">
        <v>138.34</v>
      </c>
      <c r="H433" s="15">
        <f t="shared" si="94"/>
        <v>10375.5</v>
      </c>
      <c r="I433" s="16">
        <f t="shared" si="95"/>
        <v>1784.5</v>
      </c>
      <c r="J433" s="19">
        <f>I433/E433</f>
        <v>0.20771737865207776</v>
      </c>
      <c r="K433" s="132" t="s">
        <v>152</v>
      </c>
      <c r="L433" s="97">
        <v>123.03</v>
      </c>
      <c r="M433" s="41">
        <f t="shared" si="97"/>
        <v>106.39200000000001</v>
      </c>
      <c r="N433" s="118">
        <v>141.88</v>
      </c>
      <c r="O433" s="116"/>
      <c r="P433" s="116" t="s">
        <v>92</v>
      </c>
      <c r="Q433" s="117"/>
      <c r="R433" s="118"/>
      <c r="S433" s="117"/>
      <c r="T433" s="116"/>
      <c r="V433" s="131"/>
    </row>
    <row r="434" spans="1:22" s="114" customFormat="1" ht="15">
      <c r="A434" s="12" t="s">
        <v>92</v>
      </c>
      <c r="B434" s="65">
        <v>42012.39513888889</v>
      </c>
      <c r="C434" s="14">
        <v>117.75</v>
      </c>
      <c r="D434" s="15">
        <v>50</v>
      </c>
      <c r="E434" s="15">
        <f t="shared" si="93"/>
        <v>5898.5</v>
      </c>
      <c r="F434" s="13"/>
      <c r="G434" s="14">
        <v>138.34</v>
      </c>
      <c r="H434" s="15">
        <f t="shared" si="94"/>
        <v>6917</v>
      </c>
      <c r="I434" s="16">
        <f t="shared" si="95"/>
        <v>1018.5</v>
      </c>
      <c r="J434" s="19">
        <f>I434/E434</f>
        <v>0.17267101805543783</v>
      </c>
      <c r="K434" s="95" t="s">
        <v>95</v>
      </c>
      <c r="L434" s="97">
        <v>123.03</v>
      </c>
      <c r="M434" s="41">
        <f t="shared" si="97"/>
        <v>109.50750000000001</v>
      </c>
      <c r="N434" s="118">
        <v>141.88</v>
      </c>
      <c r="O434" s="116"/>
      <c r="P434" s="116" t="s">
        <v>92</v>
      </c>
      <c r="Q434" s="117"/>
      <c r="R434" s="118"/>
      <c r="S434" s="117"/>
      <c r="T434" s="116"/>
      <c r="V434" s="131"/>
    </row>
    <row r="435" spans="1:22" s="114" customFormat="1" ht="15">
      <c r="A435" s="12" t="s">
        <v>92</v>
      </c>
      <c r="B435" s="65">
        <v>42061.55972222222</v>
      </c>
      <c r="C435" s="14">
        <v>131.5</v>
      </c>
      <c r="D435" s="15">
        <v>50</v>
      </c>
      <c r="E435" s="15">
        <f t="shared" si="93"/>
        <v>6586</v>
      </c>
      <c r="F435" s="13"/>
      <c r="G435" s="14">
        <v>138.34</v>
      </c>
      <c r="H435" s="15">
        <f t="shared" si="94"/>
        <v>6917</v>
      </c>
      <c r="I435" s="16">
        <f t="shared" si="95"/>
        <v>331</v>
      </c>
      <c r="J435" s="19">
        <f>I435/E435</f>
        <v>0.05025812329183116</v>
      </c>
      <c r="K435" s="95" t="s">
        <v>145</v>
      </c>
      <c r="L435" s="97">
        <v>123.03</v>
      </c>
      <c r="M435" s="41">
        <f t="shared" si="97"/>
        <v>122.295</v>
      </c>
      <c r="N435" s="118">
        <v>141.88</v>
      </c>
      <c r="O435" s="116"/>
      <c r="P435" s="116" t="s">
        <v>92</v>
      </c>
      <c r="Q435" s="117"/>
      <c r="R435" s="118"/>
      <c r="S435" s="117"/>
      <c r="T435" s="116"/>
      <c r="V435" s="131"/>
    </row>
    <row r="436" spans="1:22" s="114" customFormat="1" ht="15">
      <c r="A436" s="12" t="s">
        <v>80</v>
      </c>
      <c r="B436" s="65">
        <v>42011.30486111111</v>
      </c>
      <c r="C436" s="14">
        <v>58.02</v>
      </c>
      <c r="D436" s="15">
        <v>250</v>
      </c>
      <c r="E436" s="15">
        <f t="shared" si="93"/>
        <v>14516</v>
      </c>
      <c r="F436" s="13"/>
      <c r="G436" s="14">
        <v>72.47</v>
      </c>
      <c r="H436" s="15">
        <f t="shared" si="94"/>
        <v>18117.5</v>
      </c>
      <c r="I436" s="16">
        <f t="shared" si="95"/>
        <v>3601.5</v>
      </c>
      <c r="J436" s="19">
        <f aca="true" t="shared" si="98" ref="J436:J440">I436/E436</f>
        <v>0.2481055387158997</v>
      </c>
      <c r="K436" s="95" t="s">
        <v>81</v>
      </c>
      <c r="L436" s="97">
        <v>63.59</v>
      </c>
      <c r="M436" s="41">
        <f t="shared" si="97"/>
        <v>53.958600000000004</v>
      </c>
      <c r="N436" s="118">
        <v>76.6</v>
      </c>
      <c r="O436" s="121">
        <v>42090</v>
      </c>
      <c r="P436" s="116" t="s">
        <v>80</v>
      </c>
      <c r="Q436" s="117">
        <v>74.37</v>
      </c>
      <c r="R436" s="118">
        <f>Q436*0.855</f>
        <v>63.58635</v>
      </c>
      <c r="S436" s="117">
        <f>1.11*C436</f>
        <v>64.40220000000001</v>
      </c>
      <c r="T436" s="116"/>
      <c r="V436" s="131"/>
    </row>
    <row r="437" spans="1:22" s="114" customFormat="1" ht="15">
      <c r="A437" s="12" t="s">
        <v>80</v>
      </c>
      <c r="B437" s="65">
        <v>42011.40694444445</v>
      </c>
      <c r="C437" s="14">
        <v>59.16</v>
      </c>
      <c r="D437" s="15">
        <v>150</v>
      </c>
      <c r="E437" s="15">
        <f t="shared" si="93"/>
        <v>8885</v>
      </c>
      <c r="F437" s="13"/>
      <c r="G437" s="14">
        <v>72.47</v>
      </c>
      <c r="H437" s="15">
        <f t="shared" si="94"/>
        <v>10870.5</v>
      </c>
      <c r="I437" s="16">
        <f t="shared" si="95"/>
        <v>1985.5</v>
      </c>
      <c r="J437" s="122">
        <f t="shared" si="98"/>
        <v>0.22346651660101294</v>
      </c>
      <c r="K437" s="95" t="s">
        <v>82</v>
      </c>
      <c r="L437" s="97">
        <v>63.59</v>
      </c>
      <c r="M437" s="41">
        <f t="shared" si="97"/>
        <v>55.0188</v>
      </c>
      <c r="N437" s="118">
        <v>77.93</v>
      </c>
      <c r="O437" s="116"/>
      <c r="P437" s="116" t="s">
        <v>80</v>
      </c>
      <c r="Q437" s="117"/>
      <c r="R437" s="118"/>
      <c r="S437" s="117"/>
      <c r="T437" s="116"/>
      <c r="V437" s="131"/>
    </row>
    <row r="438" spans="1:22" s="114" customFormat="1" ht="15">
      <c r="A438" s="12" t="s">
        <v>80</v>
      </c>
      <c r="B438" s="65">
        <v>42012.29305555556</v>
      </c>
      <c r="C438" s="14">
        <v>60.3</v>
      </c>
      <c r="D438" s="15">
        <v>100</v>
      </c>
      <c r="E438" s="15">
        <f t="shared" si="93"/>
        <v>6041</v>
      </c>
      <c r="F438" s="13"/>
      <c r="G438" s="14">
        <v>72.47</v>
      </c>
      <c r="H438" s="15">
        <f t="shared" si="94"/>
        <v>7247</v>
      </c>
      <c r="I438" s="16">
        <f t="shared" si="95"/>
        <v>1206</v>
      </c>
      <c r="J438" s="19">
        <f t="shared" si="98"/>
        <v>0.19963582188379408</v>
      </c>
      <c r="K438" s="95" t="s">
        <v>83</v>
      </c>
      <c r="L438" s="97">
        <v>63.59</v>
      </c>
      <c r="M438" s="41">
        <f t="shared" si="97"/>
        <v>56.079</v>
      </c>
      <c r="N438" s="118">
        <v>77.93</v>
      </c>
      <c r="O438" s="116"/>
      <c r="P438" s="116" t="s">
        <v>80</v>
      </c>
      <c r="Q438" s="117"/>
      <c r="R438" s="118"/>
      <c r="S438" s="117"/>
      <c r="T438" s="116"/>
      <c r="V438" s="131"/>
    </row>
    <row r="439" spans="1:22" s="114" customFormat="1" ht="15">
      <c r="A439" s="12" t="s">
        <v>80</v>
      </c>
      <c r="B439" s="65">
        <v>42047.271527777775</v>
      </c>
      <c r="C439" s="14">
        <v>64.65</v>
      </c>
      <c r="D439" s="15">
        <v>100</v>
      </c>
      <c r="E439" s="15">
        <f t="shared" si="93"/>
        <v>6476.000000000001</v>
      </c>
      <c r="F439" s="13"/>
      <c r="G439" s="14">
        <v>72.47</v>
      </c>
      <c r="H439" s="15">
        <f t="shared" si="94"/>
        <v>7247</v>
      </c>
      <c r="I439" s="16">
        <f t="shared" si="95"/>
        <v>770.9999999999991</v>
      </c>
      <c r="J439" s="19">
        <f t="shared" si="98"/>
        <v>0.1190549722050647</v>
      </c>
      <c r="K439" s="95" t="s">
        <v>132</v>
      </c>
      <c r="L439" s="97">
        <v>63.59</v>
      </c>
      <c r="M439" s="41">
        <f t="shared" si="97"/>
        <v>60.12450000000001</v>
      </c>
      <c r="N439" s="118">
        <v>77.93</v>
      </c>
      <c r="O439" s="116"/>
      <c r="P439" s="116" t="s">
        <v>80</v>
      </c>
      <c r="Q439" s="117"/>
      <c r="R439" s="118"/>
      <c r="S439" s="117"/>
      <c r="T439" s="116"/>
      <c r="V439" s="131"/>
    </row>
    <row r="440" spans="1:22" s="114" customFormat="1" ht="15">
      <c r="A440" s="12" t="s">
        <v>80</v>
      </c>
      <c r="B440" s="65">
        <v>42081.34097222222</v>
      </c>
      <c r="C440" s="14">
        <v>70</v>
      </c>
      <c r="D440" s="15">
        <v>120</v>
      </c>
      <c r="E440" s="15">
        <f t="shared" si="93"/>
        <v>8411</v>
      </c>
      <c r="F440" s="13"/>
      <c r="G440" s="14">
        <v>72.47</v>
      </c>
      <c r="H440" s="15">
        <f t="shared" si="94"/>
        <v>8696.4</v>
      </c>
      <c r="I440" s="16">
        <f t="shared" si="95"/>
        <v>285.39999999999964</v>
      </c>
      <c r="J440" s="19">
        <f t="shared" si="98"/>
        <v>0.03393175603376526</v>
      </c>
      <c r="K440" s="95" t="s">
        <v>181</v>
      </c>
      <c r="L440" s="97"/>
      <c r="M440" s="20">
        <f t="shared" si="97"/>
        <v>65.10000000000001</v>
      </c>
      <c r="N440" s="118">
        <v>77.93</v>
      </c>
      <c r="O440" s="116"/>
      <c r="P440" s="116" t="s">
        <v>80</v>
      </c>
      <c r="Q440" s="117"/>
      <c r="R440" s="118"/>
      <c r="S440" s="117"/>
      <c r="T440" s="116"/>
      <c r="V440" s="131"/>
    </row>
    <row r="441" spans="1:20" s="114" customFormat="1" ht="15">
      <c r="A441" s="12" t="s">
        <v>61</v>
      </c>
      <c r="B441" s="65">
        <v>42040.27847222222</v>
      </c>
      <c r="C441" s="14">
        <v>132.85</v>
      </c>
      <c r="D441" s="15">
        <v>110</v>
      </c>
      <c r="E441" s="15">
        <f t="shared" si="93"/>
        <v>14624.5</v>
      </c>
      <c r="F441" s="135" t="s">
        <v>215</v>
      </c>
      <c r="G441" s="14">
        <v>151.68</v>
      </c>
      <c r="H441" s="15">
        <f t="shared" si="94"/>
        <v>16684.8</v>
      </c>
      <c r="I441" s="16">
        <f t="shared" si="95"/>
        <v>2060.2999999999993</v>
      </c>
      <c r="J441" s="19">
        <f aca="true" t="shared" si="99" ref="J441:J463">I441/E441</f>
        <v>0.14088003008649863</v>
      </c>
      <c r="K441" s="95" t="s">
        <v>134</v>
      </c>
      <c r="L441" s="119">
        <v>133.38</v>
      </c>
      <c r="M441" s="41">
        <f t="shared" si="97"/>
        <v>123.5505</v>
      </c>
      <c r="N441" s="118">
        <v>168.13</v>
      </c>
      <c r="O441" s="121">
        <v>42086</v>
      </c>
      <c r="P441" s="116" t="s">
        <v>61</v>
      </c>
      <c r="Q441" s="117">
        <v>156</v>
      </c>
      <c r="R441" s="118">
        <f>Q441*0.855</f>
        <v>133.38</v>
      </c>
      <c r="S441" s="117">
        <f>1.11*C441</f>
        <v>147.4635</v>
      </c>
      <c r="T441" s="116"/>
    </row>
    <row r="442" spans="1:20" s="114" customFormat="1" ht="15">
      <c r="A442" s="12" t="s">
        <v>61</v>
      </c>
      <c r="B442" s="65">
        <v>42045.27291666667</v>
      </c>
      <c r="C442" s="14">
        <v>135.9</v>
      </c>
      <c r="D442" s="15">
        <v>65</v>
      </c>
      <c r="E442" s="15">
        <f t="shared" si="93"/>
        <v>8844.5</v>
      </c>
      <c r="F442" s="13"/>
      <c r="G442" s="14">
        <v>151.68</v>
      </c>
      <c r="H442" s="15">
        <f t="shared" si="94"/>
        <v>9859.2</v>
      </c>
      <c r="I442" s="16">
        <f t="shared" si="95"/>
        <v>1014.7000000000007</v>
      </c>
      <c r="J442" s="19">
        <f t="shared" si="99"/>
        <v>0.11472666628978469</v>
      </c>
      <c r="K442" s="95" t="s">
        <v>141</v>
      </c>
      <c r="L442" s="119">
        <v>133.38</v>
      </c>
      <c r="M442" s="41">
        <f t="shared" si="97"/>
        <v>126.38700000000001</v>
      </c>
      <c r="N442" s="118">
        <v>168.13</v>
      </c>
      <c r="O442" s="116"/>
      <c r="P442" s="116" t="s">
        <v>61</v>
      </c>
      <c r="Q442" s="117"/>
      <c r="R442" s="118"/>
      <c r="S442" s="117"/>
      <c r="T442" s="116"/>
    </row>
    <row r="443" spans="1:20" s="114" customFormat="1" ht="15">
      <c r="A443" s="12" t="s">
        <v>61</v>
      </c>
      <c r="B443" s="65">
        <v>42054.277083333334</v>
      </c>
      <c r="C443" s="14">
        <v>139.17</v>
      </c>
      <c r="D443" s="15">
        <v>40</v>
      </c>
      <c r="E443" s="15">
        <f t="shared" si="93"/>
        <v>5577.799999999999</v>
      </c>
      <c r="F443" s="13"/>
      <c r="G443" s="14">
        <v>151.68</v>
      </c>
      <c r="H443" s="15">
        <f t="shared" si="94"/>
        <v>6067.200000000001</v>
      </c>
      <c r="I443" s="16">
        <f t="shared" si="95"/>
        <v>489.40000000000146</v>
      </c>
      <c r="J443" s="19">
        <f t="shared" si="99"/>
        <v>0.08774068629208676</v>
      </c>
      <c r="K443" s="95" t="s">
        <v>140</v>
      </c>
      <c r="L443" s="119">
        <v>133.38</v>
      </c>
      <c r="M443" s="41">
        <f t="shared" si="97"/>
        <v>129.4281</v>
      </c>
      <c r="N443" s="118">
        <v>168.13</v>
      </c>
      <c r="O443" s="116"/>
      <c r="P443" s="116" t="s">
        <v>61</v>
      </c>
      <c r="Q443" s="117"/>
      <c r="R443" s="118"/>
      <c r="S443" s="117"/>
      <c r="T443" s="116"/>
    </row>
    <row r="444" spans="1:20" s="114" customFormat="1" ht="15">
      <c r="A444" s="12" t="s">
        <v>61</v>
      </c>
      <c r="B444" s="65">
        <v>42075.56458333333</v>
      </c>
      <c r="C444" s="14">
        <v>154</v>
      </c>
      <c r="D444" s="15">
        <v>40</v>
      </c>
      <c r="E444" s="15">
        <f t="shared" si="93"/>
        <v>6171</v>
      </c>
      <c r="F444" s="13"/>
      <c r="G444" s="14">
        <v>151.68</v>
      </c>
      <c r="H444" s="15">
        <f t="shared" si="94"/>
        <v>6067.200000000001</v>
      </c>
      <c r="I444" s="16">
        <f t="shared" si="95"/>
        <v>-103.79999999999927</v>
      </c>
      <c r="J444" s="19">
        <f t="shared" si="99"/>
        <v>-0.01682061254253756</v>
      </c>
      <c r="K444" s="95" t="s">
        <v>160</v>
      </c>
      <c r="L444" s="119"/>
      <c r="M444" s="20">
        <f t="shared" si="97"/>
        <v>143.22</v>
      </c>
      <c r="N444" s="118">
        <v>168.13</v>
      </c>
      <c r="O444" s="116"/>
      <c r="P444" s="116" t="s">
        <v>61</v>
      </c>
      <c r="Q444" s="117"/>
      <c r="R444" s="118"/>
      <c r="S444" s="117"/>
      <c r="T444" s="116"/>
    </row>
    <row r="445" spans="1:20" s="114" customFormat="1" ht="15">
      <c r="A445" s="12" t="s">
        <v>52</v>
      </c>
      <c r="B445" s="65">
        <v>42046.27361111111</v>
      </c>
      <c r="C445" s="14">
        <v>129.75</v>
      </c>
      <c r="D445" s="15">
        <v>80</v>
      </c>
      <c r="E445" s="15">
        <f t="shared" si="93"/>
        <v>10391</v>
      </c>
      <c r="F445" s="65"/>
      <c r="G445" s="14">
        <v>147.97</v>
      </c>
      <c r="H445" s="15">
        <f t="shared" si="94"/>
        <v>11837.6</v>
      </c>
      <c r="I445" s="16">
        <f t="shared" si="95"/>
        <v>1446.6000000000004</v>
      </c>
      <c r="J445" s="19">
        <f t="shared" si="99"/>
        <v>0.13921662977576751</v>
      </c>
      <c r="K445" s="95" t="s">
        <v>135</v>
      </c>
      <c r="L445" s="119">
        <v>128.63</v>
      </c>
      <c r="M445" s="41">
        <f t="shared" si="97"/>
        <v>120.6675</v>
      </c>
      <c r="N445" s="118">
        <v>161.78</v>
      </c>
      <c r="O445" s="121">
        <f>WORKDAY(B445,40,'Weekly Summary'!P$2:P$10)</f>
        <v>42104</v>
      </c>
      <c r="P445" s="116" t="s">
        <v>52</v>
      </c>
      <c r="Q445" s="117">
        <v>150.44</v>
      </c>
      <c r="R445" s="118">
        <f>Q445*0.855</f>
        <v>128.62619999999998</v>
      </c>
      <c r="S445" s="117">
        <f>1.11*C445</f>
        <v>144.0225</v>
      </c>
      <c r="T445" s="116"/>
    </row>
    <row r="446" spans="1:20" s="114" customFormat="1" ht="15">
      <c r="A446" s="12" t="s">
        <v>52</v>
      </c>
      <c r="B446" s="65">
        <v>42047.275</v>
      </c>
      <c r="C446" s="14">
        <v>133.95</v>
      </c>
      <c r="D446" s="15">
        <v>45</v>
      </c>
      <c r="E446" s="15">
        <f t="shared" si="93"/>
        <v>6038.749999999999</v>
      </c>
      <c r="F446" s="13"/>
      <c r="G446" s="14">
        <v>147.97</v>
      </c>
      <c r="H446" s="15">
        <f t="shared" si="94"/>
        <v>6658.65</v>
      </c>
      <c r="I446" s="16">
        <f t="shared" si="95"/>
        <v>619.9000000000005</v>
      </c>
      <c r="J446" s="19">
        <f t="shared" si="99"/>
        <v>0.10265369488718702</v>
      </c>
      <c r="K446" s="95" t="s">
        <v>136</v>
      </c>
      <c r="L446" s="119">
        <v>128.63</v>
      </c>
      <c r="M446" s="41">
        <f t="shared" si="97"/>
        <v>124.5735</v>
      </c>
      <c r="N446" s="118">
        <v>161.78</v>
      </c>
      <c r="O446" s="116"/>
      <c r="P446" s="116" t="s">
        <v>52</v>
      </c>
      <c r="Q446" s="117"/>
      <c r="R446" s="118"/>
      <c r="S446" s="117"/>
      <c r="T446" s="116"/>
    </row>
    <row r="447" spans="1:20" s="114" customFormat="1" ht="15">
      <c r="A447" s="12" t="s">
        <v>52</v>
      </c>
      <c r="B447" s="65">
        <v>42048.450694444444</v>
      </c>
      <c r="C447" s="14">
        <v>135.8</v>
      </c>
      <c r="D447" s="15">
        <v>30</v>
      </c>
      <c r="E447" s="15">
        <f t="shared" si="93"/>
        <v>4085.0000000000005</v>
      </c>
      <c r="F447" s="13"/>
      <c r="G447" s="14">
        <v>147.97</v>
      </c>
      <c r="H447" s="15">
        <f t="shared" si="94"/>
        <v>4439.1</v>
      </c>
      <c r="I447" s="16">
        <f t="shared" si="95"/>
        <v>354.0999999999999</v>
      </c>
      <c r="J447" s="19">
        <f t="shared" si="99"/>
        <v>0.08668298653610768</v>
      </c>
      <c r="K447" s="95" t="s">
        <v>143</v>
      </c>
      <c r="L447" s="119">
        <v>128.63</v>
      </c>
      <c r="M447" s="41">
        <f t="shared" si="97"/>
        <v>126.29400000000001</v>
      </c>
      <c r="N447" s="118">
        <v>161.78</v>
      </c>
      <c r="O447" s="116"/>
      <c r="P447" s="116" t="s">
        <v>52</v>
      </c>
      <c r="Q447" s="117"/>
      <c r="R447" s="118"/>
      <c r="S447" s="117"/>
      <c r="T447" s="116"/>
    </row>
    <row r="448" spans="1:20" s="114" customFormat="1" ht="15">
      <c r="A448" s="12" t="s">
        <v>52</v>
      </c>
      <c r="B448" s="65">
        <v>42074.29027777778</v>
      </c>
      <c r="C448" s="14">
        <v>140.55</v>
      </c>
      <c r="D448" s="15">
        <v>30</v>
      </c>
      <c r="E448" s="15">
        <f t="shared" si="93"/>
        <v>4227.5</v>
      </c>
      <c r="F448" s="13"/>
      <c r="G448" s="14">
        <v>147.97</v>
      </c>
      <c r="H448" s="15">
        <f t="shared" si="94"/>
        <v>4439.1</v>
      </c>
      <c r="I448" s="16">
        <f t="shared" si="95"/>
        <v>211.60000000000036</v>
      </c>
      <c r="J448" s="19">
        <f t="shared" si="99"/>
        <v>0.05005322294500304</v>
      </c>
      <c r="K448" s="95" t="s">
        <v>182</v>
      </c>
      <c r="L448" s="119"/>
      <c r="M448" s="20">
        <f t="shared" si="97"/>
        <v>130.71150000000003</v>
      </c>
      <c r="N448" s="118">
        <v>161.78</v>
      </c>
      <c r="O448" s="116"/>
      <c r="P448" s="116" t="s">
        <v>52</v>
      </c>
      <c r="Q448" s="117"/>
      <c r="R448" s="118"/>
      <c r="S448" s="117"/>
      <c r="T448" s="116"/>
    </row>
    <row r="449" spans="1:20" s="114" customFormat="1" ht="15">
      <c r="A449" s="12" t="s">
        <v>52</v>
      </c>
      <c r="B449" s="65">
        <v>42093.27638888889</v>
      </c>
      <c r="C449" s="14">
        <v>149.29</v>
      </c>
      <c r="D449" s="15">
        <v>40</v>
      </c>
      <c r="E449" s="15">
        <f t="shared" si="93"/>
        <v>5982.599999999999</v>
      </c>
      <c r="F449" s="13"/>
      <c r="G449" s="14">
        <v>147.97</v>
      </c>
      <c r="H449" s="15">
        <f t="shared" si="94"/>
        <v>5918.8</v>
      </c>
      <c r="I449" s="16">
        <f t="shared" si="95"/>
        <v>-63.79999999999927</v>
      </c>
      <c r="J449" s="19">
        <f t="shared" si="99"/>
        <v>-0.010664259686423842</v>
      </c>
      <c r="K449" s="95" t="s">
        <v>213</v>
      </c>
      <c r="L449" s="119"/>
      <c r="M449" s="20">
        <f t="shared" si="97"/>
        <v>138.8397</v>
      </c>
      <c r="N449" s="118">
        <v>161.78</v>
      </c>
      <c r="O449" s="116"/>
      <c r="P449" s="116" t="s">
        <v>52</v>
      </c>
      <c r="Q449" s="117"/>
      <c r="R449" s="118"/>
      <c r="S449" s="117"/>
      <c r="T449" s="116"/>
    </row>
    <row r="450" spans="1:20" s="114" customFormat="1" ht="15">
      <c r="A450" s="12" t="s">
        <v>39</v>
      </c>
      <c r="B450" s="65">
        <v>42062.53680555556</v>
      </c>
      <c r="C450" s="14">
        <v>57.65</v>
      </c>
      <c r="D450" s="15">
        <v>100</v>
      </c>
      <c r="E450" s="15">
        <f t="shared" si="93"/>
        <v>5776</v>
      </c>
      <c r="F450" s="13"/>
      <c r="G450" s="14">
        <v>75.8</v>
      </c>
      <c r="H450" s="15">
        <f t="shared" si="94"/>
        <v>7580</v>
      </c>
      <c r="I450" s="16">
        <f t="shared" si="95"/>
        <v>1804</v>
      </c>
      <c r="J450" s="19">
        <f t="shared" si="99"/>
        <v>0.3123268698060942</v>
      </c>
      <c r="K450" s="95" t="s">
        <v>149</v>
      </c>
      <c r="L450" s="119">
        <v>66.17</v>
      </c>
      <c r="M450" s="41">
        <f t="shared" si="97"/>
        <v>53.6145</v>
      </c>
      <c r="N450" s="118">
        <v>79</v>
      </c>
      <c r="O450" s="121">
        <v>42124</v>
      </c>
      <c r="P450" s="116" t="s">
        <v>39</v>
      </c>
      <c r="Q450" s="117">
        <v>77.39</v>
      </c>
      <c r="R450" s="118">
        <f>Q450*0.855</f>
        <v>66.16844999999999</v>
      </c>
      <c r="S450" s="117">
        <f>1.11*C450</f>
        <v>63.9915</v>
      </c>
      <c r="T450" s="116"/>
    </row>
    <row r="451" spans="1:20" s="114" customFormat="1" ht="15">
      <c r="A451" s="12" t="s">
        <v>39</v>
      </c>
      <c r="B451" s="65">
        <v>42073.322916666664</v>
      </c>
      <c r="C451" s="14">
        <v>65.15</v>
      </c>
      <c r="D451" s="15">
        <v>350</v>
      </c>
      <c r="E451" s="15">
        <f t="shared" si="93"/>
        <v>22813.500000000004</v>
      </c>
      <c r="F451" s="13"/>
      <c r="G451" s="14">
        <v>75.8</v>
      </c>
      <c r="H451" s="15">
        <f t="shared" si="94"/>
        <v>26530</v>
      </c>
      <c r="I451" s="16">
        <f t="shared" si="95"/>
        <v>3716.4999999999964</v>
      </c>
      <c r="J451" s="19">
        <f t="shared" si="99"/>
        <v>0.16290792732373358</v>
      </c>
      <c r="K451" s="95" t="s">
        <v>164</v>
      </c>
      <c r="L451" s="119">
        <v>66.17</v>
      </c>
      <c r="M451" s="41">
        <f t="shared" si="97"/>
        <v>60.58950000000001</v>
      </c>
      <c r="N451" s="118">
        <v>79</v>
      </c>
      <c r="O451" s="116"/>
      <c r="P451" s="116" t="s">
        <v>39</v>
      </c>
      <c r="Q451" s="117"/>
      <c r="R451" s="118"/>
      <c r="S451" s="117"/>
      <c r="T451" s="116"/>
    </row>
    <row r="452" spans="1:20" s="114" customFormat="1" ht="15">
      <c r="A452" s="12" t="s">
        <v>39</v>
      </c>
      <c r="B452" s="65">
        <v>42073.35555555556</v>
      </c>
      <c r="C452" s="14">
        <v>66.15</v>
      </c>
      <c r="D452" s="15">
        <v>110</v>
      </c>
      <c r="E452" s="15">
        <f t="shared" si="93"/>
        <v>7287.500000000001</v>
      </c>
      <c r="F452" s="13"/>
      <c r="G452" s="14">
        <v>75.8</v>
      </c>
      <c r="H452" s="15">
        <f t="shared" si="94"/>
        <v>8338</v>
      </c>
      <c r="I452" s="16">
        <f t="shared" si="95"/>
        <v>1050.499999999999</v>
      </c>
      <c r="J452" s="19">
        <f t="shared" si="99"/>
        <v>0.14415094339622628</v>
      </c>
      <c r="K452" s="95" t="s">
        <v>165</v>
      </c>
      <c r="L452" s="119">
        <v>66.17</v>
      </c>
      <c r="M452" s="41">
        <f t="shared" si="97"/>
        <v>61.51950000000001</v>
      </c>
      <c r="N452" s="118">
        <v>79</v>
      </c>
      <c r="O452" s="116"/>
      <c r="P452" s="116" t="s">
        <v>39</v>
      </c>
      <c r="Q452" s="117"/>
      <c r="R452" s="118"/>
      <c r="S452" s="117"/>
      <c r="T452" s="116"/>
    </row>
    <row r="453" spans="1:20" s="114" customFormat="1" ht="15">
      <c r="A453" s="12" t="s">
        <v>39</v>
      </c>
      <c r="B453" s="65">
        <v>42093.34375</v>
      </c>
      <c r="C453" s="14">
        <v>73.37</v>
      </c>
      <c r="D453" s="15">
        <v>110</v>
      </c>
      <c r="E453" s="15">
        <f t="shared" si="93"/>
        <v>8081.700000000001</v>
      </c>
      <c r="F453" s="13"/>
      <c r="G453" s="14">
        <v>75.8</v>
      </c>
      <c r="H453" s="15">
        <f t="shared" si="94"/>
        <v>8338</v>
      </c>
      <c r="I453" s="16">
        <f t="shared" si="95"/>
        <v>256.2999999999993</v>
      </c>
      <c r="J453" s="19">
        <f t="shared" si="99"/>
        <v>0.031713624608683724</v>
      </c>
      <c r="K453" s="95" t="s">
        <v>214</v>
      </c>
      <c r="L453" s="119"/>
      <c r="M453" s="20">
        <f t="shared" si="97"/>
        <v>68.23410000000001</v>
      </c>
      <c r="N453" s="118">
        <v>79</v>
      </c>
      <c r="O453" s="116"/>
      <c r="P453" s="116" t="s">
        <v>39</v>
      </c>
      <c r="Q453" s="117"/>
      <c r="R453" s="118"/>
      <c r="S453" s="117"/>
      <c r="T453" s="116"/>
    </row>
    <row r="454" spans="1:20" s="114" customFormat="1" ht="15">
      <c r="A454" s="12" t="s">
        <v>169</v>
      </c>
      <c r="B454" s="65">
        <v>42076.538194444445</v>
      </c>
      <c r="C454" s="14">
        <v>56.64</v>
      </c>
      <c r="D454" s="15">
        <v>320</v>
      </c>
      <c r="E454" s="15">
        <f t="shared" si="93"/>
        <v>18135.8</v>
      </c>
      <c r="F454" s="13"/>
      <c r="G454" s="14">
        <v>58.32</v>
      </c>
      <c r="H454" s="15">
        <f t="shared" si="94"/>
        <v>18662.4</v>
      </c>
      <c r="I454" s="16">
        <f t="shared" si="95"/>
        <v>526.6000000000022</v>
      </c>
      <c r="J454" s="19">
        <f t="shared" si="99"/>
        <v>0.029036491359631347</v>
      </c>
      <c r="K454" s="95" t="s">
        <v>170</v>
      </c>
      <c r="L454" s="119"/>
      <c r="M454" s="20">
        <f t="shared" si="97"/>
        <v>52.675200000000004</v>
      </c>
      <c r="N454" s="118">
        <v>71.25</v>
      </c>
      <c r="O454" s="121">
        <v>42132</v>
      </c>
      <c r="P454" s="116" t="s">
        <v>169</v>
      </c>
      <c r="Q454" s="117">
        <v>59.71</v>
      </c>
      <c r="R454" s="118">
        <f>Q454*0.855</f>
        <v>51.05205</v>
      </c>
      <c r="S454" s="117">
        <f>1.11*C454</f>
        <v>62.870400000000004</v>
      </c>
      <c r="T454" s="116"/>
    </row>
    <row r="455" spans="1:20" s="114" customFormat="1" ht="15">
      <c r="A455" s="12" t="s">
        <v>169</v>
      </c>
      <c r="B455" s="65">
        <v>42082.302777777775</v>
      </c>
      <c r="C455" s="14">
        <v>57.9</v>
      </c>
      <c r="D455" s="15">
        <v>190</v>
      </c>
      <c r="E455" s="15">
        <f t="shared" si="93"/>
        <v>11012</v>
      </c>
      <c r="F455" s="13"/>
      <c r="G455" s="14">
        <v>58.32</v>
      </c>
      <c r="H455" s="15">
        <f t="shared" si="94"/>
        <v>11080.8</v>
      </c>
      <c r="I455" s="16">
        <f t="shared" si="95"/>
        <v>68.79999999999927</v>
      </c>
      <c r="J455" s="19">
        <f t="shared" si="99"/>
        <v>0.006247729749364264</v>
      </c>
      <c r="K455" s="95" t="s">
        <v>217</v>
      </c>
      <c r="L455" s="119"/>
      <c r="M455" s="20">
        <f t="shared" si="97"/>
        <v>53.847</v>
      </c>
      <c r="N455" s="118">
        <v>71.25</v>
      </c>
      <c r="O455" s="116"/>
      <c r="P455" s="116" t="s">
        <v>169</v>
      </c>
      <c r="Q455" s="117"/>
      <c r="R455" s="118"/>
      <c r="S455" s="117"/>
      <c r="T455" s="116"/>
    </row>
    <row r="456" spans="1:20" s="114" customFormat="1" ht="15">
      <c r="A456" s="85" t="s">
        <v>169</v>
      </c>
      <c r="B456" s="65">
        <v>42103.433333333334</v>
      </c>
      <c r="C456" s="14">
        <v>59.27</v>
      </c>
      <c r="D456" s="15">
        <v>125</v>
      </c>
      <c r="E456" s="15">
        <f t="shared" si="93"/>
        <v>7419.75</v>
      </c>
      <c r="F456" s="13"/>
      <c r="G456" s="14">
        <v>58.32</v>
      </c>
      <c r="H456" s="15">
        <f t="shared" si="94"/>
        <v>7290</v>
      </c>
      <c r="I456" s="16">
        <f t="shared" si="95"/>
        <v>-129.75</v>
      </c>
      <c r="J456" s="19">
        <f t="shared" si="99"/>
        <v>-0.01748711209946427</v>
      </c>
      <c r="K456" s="95" t="s">
        <v>216</v>
      </c>
      <c r="L456" s="119"/>
      <c r="M456" s="20">
        <f t="shared" si="97"/>
        <v>55.121100000000006</v>
      </c>
      <c r="N456" s="118">
        <v>71.25</v>
      </c>
      <c r="O456" s="116"/>
      <c r="P456" s="116" t="s">
        <v>169</v>
      </c>
      <c r="Q456" s="117"/>
      <c r="R456" s="118"/>
      <c r="S456" s="117"/>
      <c r="T456" s="116"/>
    </row>
    <row r="457" spans="1:20" s="114" customFormat="1" ht="15">
      <c r="A457" s="12" t="s">
        <v>45</v>
      </c>
      <c r="B457" s="65">
        <v>42080.325694444444</v>
      </c>
      <c r="C457" s="14">
        <v>20.12</v>
      </c>
      <c r="D457" s="15">
        <v>1000</v>
      </c>
      <c r="E457" s="15">
        <f t="shared" si="93"/>
        <v>20131</v>
      </c>
      <c r="F457" s="13"/>
      <c r="G457" s="14">
        <v>29.5</v>
      </c>
      <c r="H457" s="15">
        <f t="shared" si="94"/>
        <v>29500</v>
      </c>
      <c r="I457" s="16">
        <f t="shared" si="95"/>
        <v>9369</v>
      </c>
      <c r="J457" s="19">
        <f t="shared" si="99"/>
        <v>0.46540161939297603</v>
      </c>
      <c r="K457" s="95" t="s">
        <v>186</v>
      </c>
      <c r="L457" s="119">
        <v>22.33</v>
      </c>
      <c r="M457" s="41">
        <f t="shared" si="97"/>
        <v>18.7116</v>
      </c>
      <c r="N457" s="118">
        <v>32</v>
      </c>
      <c r="O457" s="121">
        <v>42159</v>
      </c>
      <c r="P457" s="116" t="s">
        <v>45</v>
      </c>
      <c r="Q457" s="117">
        <v>29.94</v>
      </c>
      <c r="R457" s="118">
        <f>Q457*0.855</f>
        <v>25.5987</v>
      </c>
      <c r="S457" s="117">
        <f>1.11*C457</f>
        <v>22.3332</v>
      </c>
      <c r="T457" s="116"/>
    </row>
    <row r="458" spans="1:20" s="114" customFormat="1" ht="15">
      <c r="A458" s="12" t="s">
        <v>45</v>
      </c>
      <c r="B458" s="65">
        <v>42081.30972222222</v>
      </c>
      <c r="C458" s="14">
        <v>21.46</v>
      </c>
      <c r="D458" s="15">
        <v>500</v>
      </c>
      <c r="E458" s="15">
        <f t="shared" si="93"/>
        <v>10741</v>
      </c>
      <c r="F458" s="13"/>
      <c r="G458" s="14">
        <v>29.5</v>
      </c>
      <c r="H458" s="15">
        <f t="shared" si="94"/>
        <v>14750</v>
      </c>
      <c r="I458" s="16">
        <f t="shared" si="95"/>
        <v>4009</v>
      </c>
      <c r="J458" s="19">
        <f t="shared" si="99"/>
        <v>0.37324271483102134</v>
      </c>
      <c r="K458" s="95" t="s">
        <v>198</v>
      </c>
      <c r="L458" s="119">
        <v>22.33</v>
      </c>
      <c r="M458" s="41">
        <f t="shared" si="97"/>
        <v>19.957800000000002</v>
      </c>
      <c r="N458" s="118">
        <v>32</v>
      </c>
      <c r="O458" s="116"/>
      <c r="P458" s="116" t="s">
        <v>45</v>
      </c>
      <c r="Q458" s="117"/>
      <c r="R458" s="118"/>
      <c r="S458" s="117"/>
      <c r="T458" s="116"/>
    </row>
    <row r="459" spans="1:20" s="114" customFormat="1" ht="15">
      <c r="A459" s="12" t="s">
        <v>45</v>
      </c>
      <c r="B459" s="65">
        <v>42082.32986111111</v>
      </c>
      <c r="C459" s="14">
        <v>23.1</v>
      </c>
      <c r="D459" s="15">
        <v>780</v>
      </c>
      <c r="E459" s="15">
        <f t="shared" si="93"/>
        <v>18029</v>
      </c>
      <c r="F459" s="13"/>
      <c r="G459" s="14">
        <v>29.5</v>
      </c>
      <c r="H459" s="15">
        <f t="shared" si="94"/>
        <v>23010</v>
      </c>
      <c r="I459" s="16">
        <f t="shared" si="95"/>
        <v>4981</v>
      </c>
      <c r="J459" s="19">
        <f t="shared" si="99"/>
        <v>0.2762771091020023</v>
      </c>
      <c r="K459" s="95" t="s">
        <v>188</v>
      </c>
      <c r="L459" s="119">
        <v>22.33</v>
      </c>
      <c r="M459" s="41">
        <f t="shared" si="97"/>
        <v>21.483000000000004</v>
      </c>
      <c r="N459" s="118">
        <v>32</v>
      </c>
      <c r="O459" s="116"/>
      <c r="P459" s="116" t="s">
        <v>45</v>
      </c>
      <c r="Q459" s="117"/>
      <c r="R459" s="118"/>
      <c r="S459" s="117"/>
      <c r="T459" s="116"/>
    </row>
    <row r="460" spans="1:20" s="114" customFormat="1" ht="15">
      <c r="A460" s="12" t="s">
        <v>45</v>
      </c>
      <c r="B460" s="65">
        <v>42090.27291666667</v>
      </c>
      <c r="C460" s="14">
        <v>23.65</v>
      </c>
      <c r="D460" s="15">
        <v>510</v>
      </c>
      <c r="E460" s="15">
        <f t="shared" si="93"/>
        <v>12072.5</v>
      </c>
      <c r="F460" s="13"/>
      <c r="G460" s="14">
        <v>29.5</v>
      </c>
      <c r="H460" s="15">
        <f t="shared" si="94"/>
        <v>15045</v>
      </c>
      <c r="I460" s="16">
        <f t="shared" si="95"/>
        <v>2972.5</v>
      </c>
      <c r="J460" s="19">
        <f t="shared" si="99"/>
        <v>0.24622074963760612</v>
      </c>
      <c r="K460" s="95" t="s">
        <v>199</v>
      </c>
      <c r="L460" s="119">
        <v>22.33</v>
      </c>
      <c r="M460" s="41">
        <f t="shared" si="97"/>
        <v>21.9945</v>
      </c>
      <c r="N460" s="118">
        <v>32</v>
      </c>
      <c r="O460" s="116"/>
      <c r="P460" s="116" t="s">
        <v>45</v>
      </c>
      <c r="Q460" s="117"/>
      <c r="R460" s="118"/>
      <c r="S460" s="117"/>
      <c r="T460" s="116"/>
    </row>
    <row r="461" spans="1:20" s="114" customFormat="1" ht="15">
      <c r="A461" s="85" t="s">
        <v>45</v>
      </c>
      <c r="B461" s="65">
        <v>42102.27916666667</v>
      </c>
      <c r="C461" s="14">
        <v>26.2</v>
      </c>
      <c r="D461" s="15">
        <v>560</v>
      </c>
      <c r="E461" s="15">
        <f t="shared" si="93"/>
        <v>14683</v>
      </c>
      <c r="F461" s="13"/>
      <c r="G461" s="14">
        <v>29.5</v>
      </c>
      <c r="H461" s="15">
        <f t="shared" si="94"/>
        <v>16520</v>
      </c>
      <c r="I461" s="16">
        <f t="shared" si="95"/>
        <v>1837</v>
      </c>
      <c r="J461" s="19">
        <f t="shared" si="99"/>
        <v>0.12511067220595246</v>
      </c>
      <c r="K461" s="95" t="s">
        <v>218</v>
      </c>
      <c r="L461" s="119"/>
      <c r="M461" s="20">
        <f t="shared" si="97"/>
        <v>24.366</v>
      </c>
      <c r="N461" s="118">
        <v>32</v>
      </c>
      <c r="O461" s="116"/>
      <c r="P461" s="116" t="s">
        <v>45</v>
      </c>
      <c r="Q461" s="117"/>
      <c r="R461" s="118"/>
      <c r="S461" s="117"/>
      <c r="T461" s="116"/>
    </row>
    <row r="462" spans="1:20" s="114" customFormat="1" ht="15">
      <c r="A462" s="12" t="s">
        <v>208</v>
      </c>
      <c r="B462" s="65">
        <v>42090.308333333334</v>
      </c>
      <c r="C462" s="14">
        <v>214</v>
      </c>
      <c r="D462" s="15">
        <v>95</v>
      </c>
      <c r="E462" s="15">
        <f t="shared" si="93"/>
        <v>20341</v>
      </c>
      <c r="F462" s="13"/>
      <c r="G462" s="14">
        <v>220.01</v>
      </c>
      <c r="H462" s="15">
        <f t="shared" si="94"/>
        <v>20900.95</v>
      </c>
      <c r="I462" s="16">
        <f t="shared" si="95"/>
        <v>559.9500000000007</v>
      </c>
      <c r="J462" s="19">
        <f t="shared" si="99"/>
        <v>0.027528145125608413</v>
      </c>
      <c r="K462" s="95" t="s">
        <v>212</v>
      </c>
      <c r="L462" s="119"/>
      <c r="M462" s="20">
        <f t="shared" si="97"/>
        <v>199.02</v>
      </c>
      <c r="N462" s="118">
        <v>267.7</v>
      </c>
      <c r="O462" s="121">
        <v>42136</v>
      </c>
      <c r="P462" s="116" t="s">
        <v>208</v>
      </c>
      <c r="Q462" s="117"/>
      <c r="R462" s="118"/>
      <c r="S462" s="117"/>
      <c r="T462" s="116"/>
    </row>
    <row r="463" spans="1:20" s="114" customFormat="1" ht="15">
      <c r="A463" s="12" t="s">
        <v>208</v>
      </c>
      <c r="B463" s="65">
        <v>42093.29305555556</v>
      </c>
      <c r="C463" s="14">
        <v>219.41</v>
      </c>
      <c r="D463" s="15">
        <v>55</v>
      </c>
      <c r="E463" s="15">
        <f t="shared" si="93"/>
        <v>12078.55</v>
      </c>
      <c r="F463" s="13"/>
      <c r="G463" s="14">
        <v>220.01</v>
      </c>
      <c r="H463" s="15">
        <f t="shared" si="94"/>
        <v>12100.55</v>
      </c>
      <c r="I463" s="16">
        <f t="shared" si="95"/>
        <v>22</v>
      </c>
      <c r="J463" s="19">
        <f t="shared" si="99"/>
        <v>0.0018214106825736535</v>
      </c>
      <c r="K463" s="95" t="s">
        <v>211</v>
      </c>
      <c r="L463" s="119"/>
      <c r="M463" s="20">
        <f t="shared" si="97"/>
        <v>204.0513</v>
      </c>
      <c r="N463" s="118">
        <v>267.7</v>
      </c>
      <c r="O463" s="116"/>
      <c r="P463" s="116" t="s">
        <v>208</v>
      </c>
      <c r="Q463" s="117"/>
      <c r="R463" s="118"/>
      <c r="S463" s="117"/>
      <c r="T463" s="116"/>
    </row>
    <row r="464" spans="1:20" s="114" customFormat="1" ht="15">
      <c r="A464" s="12"/>
      <c r="B464" s="13"/>
      <c r="C464" s="14"/>
      <c r="D464" s="15"/>
      <c r="E464" s="15"/>
      <c r="F464" s="13"/>
      <c r="G464" s="14"/>
      <c r="H464" s="15"/>
      <c r="I464" s="16"/>
      <c r="J464" s="19"/>
      <c r="K464" s="95"/>
      <c r="L464" s="119"/>
      <c r="M464" s="32"/>
      <c r="N464" s="118"/>
      <c r="Q464" s="117"/>
      <c r="R464" s="117"/>
      <c r="S464" s="117"/>
      <c r="T464" s="116"/>
    </row>
    <row r="465" spans="1:20" s="114" customFormat="1" ht="15">
      <c r="A465" s="21" t="s">
        <v>14</v>
      </c>
      <c r="B465" s="22"/>
      <c r="C465" s="23"/>
      <c r="D465" s="24"/>
      <c r="E465" s="24">
        <f>SUM(E432:E464)</f>
        <v>334507.45</v>
      </c>
      <c r="F465" s="22"/>
      <c r="G465" s="23"/>
      <c r="H465" s="24">
        <f>SUM(H432:H464)</f>
        <v>385989.44999999995</v>
      </c>
      <c r="I465" s="25">
        <f>SUM(I432:I464)</f>
        <v>51482</v>
      </c>
      <c r="J465" s="26">
        <f>I465/E465</f>
        <v>0.15390389660977655</v>
      </c>
      <c r="K465" s="27" t="s">
        <v>15</v>
      </c>
      <c r="L465" s="28">
        <f>100000+I467</f>
        <v>179711.06</v>
      </c>
      <c r="M465" s="81"/>
      <c r="N465" s="89"/>
      <c r="Q465" s="117"/>
      <c r="R465" s="117"/>
      <c r="S465" s="117"/>
      <c r="T465" s="116"/>
    </row>
    <row r="466" spans="1:20" s="114" customFormat="1" ht="15">
      <c r="A466" s="12" t="s">
        <v>67</v>
      </c>
      <c r="B466" s="22"/>
      <c r="C466" s="25">
        <f>I467-I427</f>
        <v>21543.899999999994</v>
      </c>
      <c r="D466" s="26">
        <f>C466/H425</f>
        <v>0.06293078166095503</v>
      </c>
      <c r="E466" s="24"/>
      <c r="F466" s="22" t="s">
        <v>16</v>
      </c>
      <c r="G466" s="117"/>
      <c r="H466" s="29" t="str">
        <f>IF(ABS(H465-E465-I465)&lt;1,"","ERROR")</f>
        <v/>
      </c>
      <c r="I466" s="30">
        <v>28229.06</v>
      </c>
      <c r="J466" s="26"/>
      <c r="K466" s="111" t="s">
        <v>17</v>
      </c>
      <c r="L466" s="28">
        <f>(2*(100000+I467))-E465</f>
        <v>24914.669999999984</v>
      </c>
      <c r="M466" s="31"/>
      <c r="Q466" s="117"/>
      <c r="R466" s="117"/>
      <c r="S466" s="117"/>
      <c r="T466" s="116"/>
    </row>
    <row r="467" spans="1:20" s="114" customFormat="1" ht="15">
      <c r="A467" s="12" t="s">
        <v>54</v>
      </c>
      <c r="B467" s="22"/>
      <c r="C467" s="25">
        <f>L465-L425</f>
        <v>21543.899999999994</v>
      </c>
      <c r="D467" s="26">
        <f>C467/L425</f>
        <v>0.13620969106355577</v>
      </c>
      <c r="E467" s="24"/>
      <c r="F467" s="22" t="s">
        <v>18</v>
      </c>
      <c r="G467" s="117"/>
      <c r="H467" s="29"/>
      <c r="I467" s="30">
        <f>I465+I466</f>
        <v>79711.06</v>
      </c>
      <c r="J467" s="26">
        <f>I467/100000</f>
        <v>0.7971106</v>
      </c>
      <c r="K467" s="111" t="s">
        <v>19</v>
      </c>
      <c r="L467" s="26">
        <f>E465/(2*(100000+I467))</f>
        <v>0.930681311434032</v>
      </c>
      <c r="M467" s="31"/>
      <c r="Q467" s="117"/>
      <c r="R467" s="117"/>
      <c r="S467" s="117"/>
      <c r="T467" s="116"/>
    </row>
    <row r="468" spans="2:20" s="114" customFormat="1" ht="15">
      <c r="B468" s="22"/>
      <c r="C468" s="25"/>
      <c r="D468" s="26"/>
      <c r="E468" s="24"/>
      <c r="F468" s="22"/>
      <c r="G468" s="117"/>
      <c r="H468" s="29"/>
      <c r="I468" s="30"/>
      <c r="J468" s="26"/>
      <c r="K468" s="111"/>
      <c r="L468" s="26"/>
      <c r="M468" s="31"/>
      <c r="Q468" s="117"/>
      <c r="R468" s="117"/>
      <c r="S468" s="117"/>
      <c r="T468" s="116"/>
    </row>
    <row r="469" spans="1:20" s="114" customFormat="1" ht="15">
      <c r="A469" s="12"/>
      <c r="B469" s="22"/>
      <c r="C469" s="25"/>
      <c r="D469" s="26"/>
      <c r="E469" s="24"/>
      <c r="F469" s="22"/>
      <c r="G469" s="117"/>
      <c r="H469" s="29"/>
      <c r="I469" s="30"/>
      <c r="J469" s="26"/>
      <c r="K469" s="111"/>
      <c r="L469" s="26"/>
      <c r="M469" s="31"/>
      <c r="Q469" s="117"/>
      <c r="R469" s="117"/>
      <c r="S469" s="117"/>
      <c r="T469" s="116"/>
    </row>
    <row r="470" spans="1:20" s="114" customFormat="1" ht="30.75" customHeight="1">
      <c r="A470" s="130" t="s">
        <v>62</v>
      </c>
      <c r="B470" s="384" t="s">
        <v>220</v>
      </c>
      <c r="C470" s="384"/>
      <c r="D470" s="384"/>
      <c r="E470" s="384"/>
      <c r="F470" s="384"/>
      <c r="G470" s="384"/>
      <c r="H470" s="384"/>
      <c r="I470" s="384"/>
      <c r="J470" s="384"/>
      <c r="K470" s="384"/>
      <c r="L470" s="384"/>
      <c r="M470" s="384"/>
      <c r="N470" s="384"/>
      <c r="O470" s="92"/>
      <c r="P470" s="92"/>
      <c r="Q470" s="104"/>
      <c r="R470" s="104"/>
      <c r="S470" s="107"/>
      <c r="T470" s="109"/>
    </row>
    <row r="471" spans="1:22" s="114" customFormat="1" ht="15">
      <c r="A471" s="2" t="s">
        <v>0</v>
      </c>
      <c r="B471" s="3" t="s">
        <v>1</v>
      </c>
      <c r="C471" s="4" t="s">
        <v>2</v>
      </c>
      <c r="D471" s="5" t="s">
        <v>3</v>
      </c>
      <c r="E471" s="6" t="s">
        <v>4</v>
      </c>
      <c r="F471" s="3" t="s">
        <v>5</v>
      </c>
      <c r="G471" s="7" t="s">
        <v>2</v>
      </c>
      <c r="H471" s="6" t="s">
        <v>6</v>
      </c>
      <c r="I471" s="6" t="s">
        <v>7</v>
      </c>
      <c r="J471" s="8" t="s">
        <v>8</v>
      </c>
      <c r="K471" s="9" t="s">
        <v>9</v>
      </c>
      <c r="L471" s="10" t="s">
        <v>10</v>
      </c>
      <c r="M471" s="11" t="s">
        <v>11</v>
      </c>
      <c r="N471" s="103" t="s">
        <v>53</v>
      </c>
      <c r="O471" s="105" t="s">
        <v>110</v>
      </c>
      <c r="P471" s="106" t="s">
        <v>0</v>
      </c>
      <c r="Q471" s="117" t="s">
        <v>13</v>
      </c>
      <c r="R471" s="117" t="s">
        <v>70</v>
      </c>
      <c r="S471" s="111" t="s">
        <v>103</v>
      </c>
      <c r="T471" s="116" t="s">
        <v>107</v>
      </c>
      <c r="V471" s="9"/>
    </row>
    <row r="472" spans="1:22" s="114" customFormat="1" ht="15">
      <c r="A472" s="12" t="s">
        <v>92</v>
      </c>
      <c r="B472" s="65">
        <v>42010.447916666664</v>
      </c>
      <c r="C472" s="14">
        <v>111.9</v>
      </c>
      <c r="D472" s="15">
        <v>130</v>
      </c>
      <c r="E472" s="15">
        <f aca="true" t="shared" si="100" ref="E472:E505">C472*D472+11</f>
        <v>14558</v>
      </c>
      <c r="F472" s="13"/>
      <c r="G472" s="14">
        <v>136.9</v>
      </c>
      <c r="H472" s="15">
        <f aca="true" t="shared" si="101" ref="H472:H505">G472*D472</f>
        <v>17797</v>
      </c>
      <c r="I472" s="16">
        <f aca="true" t="shared" si="102" ref="I472:I505">H472-E472</f>
        <v>3239</v>
      </c>
      <c r="J472" s="19">
        <f aca="true" t="shared" si="103" ref="J472">I472/E472</f>
        <v>0.2224893529330952</v>
      </c>
      <c r="K472" s="132" t="s">
        <v>151</v>
      </c>
      <c r="L472" s="97">
        <v>123.03</v>
      </c>
      <c r="M472" s="41">
        <f aca="true" t="shared" si="104" ref="M472:M505">C472*0.93</f>
        <v>104.06700000000001</v>
      </c>
      <c r="N472" s="118">
        <v>141.88</v>
      </c>
      <c r="O472" s="121">
        <f>WORKDAY(B473,40,'Weekly Summary'!P$2:P$10)</f>
        <v>42069</v>
      </c>
      <c r="P472" s="116" t="s">
        <v>92</v>
      </c>
      <c r="Q472" s="117">
        <v>143.9</v>
      </c>
      <c r="R472" s="118">
        <f>Q472*0.855</f>
        <v>123.03450000000001</v>
      </c>
      <c r="S472" s="117">
        <f>1.11*C472</f>
        <v>124.20900000000002</v>
      </c>
      <c r="T472" s="116"/>
      <c r="V472" s="131"/>
    </row>
    <row r="473" spans="1:22" s="114" customFormat="1" ht="15">
      <c r="A473" s="12" t="s">
        <v>92</v>
      </c>
      <c r="B473" s="65">
        <v>42011.34305555555</v>
      </c>
      <c r="C473" s="14">
        <v>114.4</v>
      </c>
      <c r="D473" s="15">
        <v>75</v>
      </c>
      <c r="E473" s="15">
        <f t="shared" si="100"/>
        <v>8591</v>
      </c>
      <c r="F473" s="13"/>
      <c r="G473" s="14">
        <v>136.9</v>
      </c>
      <c r="H473" s="15">
        <f t="shared" si="101"/>
        <v>10267.5</v>
      </c>
      <c r="I473" s="16">
        <f t="shared" si="102"/>
        <v>1676.5</v>
      </c>
      <c r="J473" s="19">
        <f>I473/E473</f>
        <v>0.19514608311023163</v>
      </c>
      <c r="K473" s="132" t="s">
        <v>152</v>
      </c>
      <c r="L473" s="97">
        <v>123.03</v>
      </c>
      <c r="M473" s="41">
        <f t="shared" si="104"/>
        <v>106.39200000000001</v>
      </c>
      <c r="N473" s="118">
        <v>141.88</v>
      </c>
      <c r="O473" s="116"/>
      <c r="P473" s="116" t="s">
        <v>92</v>
      </c>
      <c r="Q473" s="117"/>
      <c r="R473" s="118"/>
      <c r="S473" s="117"/>
      <c r="T473" s="116"/>
      <c r="V473" s="131"/>
    </row>
    <row r="474" spans="1:22" s="114" customFormat="1" ht="15">
      <c r="A474" s="12" t="s">
        <v>92</v>
      </c>
      <c r="B474" s="65">
        <v>42012.39513888889</v>
      </c>
      <c r="C474" s="14">
        <v>117.75</v>
      </c>
      <c r="D474" s="15">
        <v>50</v>
      </c>
      <c r="E474" s="15">
        <f t="shared" si="100"/>
        <v>5898.5</v>
      </c>
      <c r="F474" s="13"/>
      <c r="G474" s="14">
        <v>136.9</v>
      </c>
      <c r="H474" s="15">
        <f t="shared" si="101"/>
        <v>6845</v>
      </c>
      <c r="I474" s="16">
        <f t="shared" si="102"/>
        <v>946.5</v>
      </c>
      <c r="J474" s="19">
        <f>I474/E474</f>
        <v>0.16046452487920657</v>
      </c>
      <c r="K474" s="95" t="s">
        <v>95</v>
      </c>
      <c r="L474" s="97">
        <v>123.03</v>
      </c>
      <c r="M474" s="41">
        <f t="shared" si="104"/>
        <v>109.50750000000001</v>
      </c>
      <c r="N474" s="118">
        <v>141.88</v>
      </c>
      <c r="O474" s="116"/>
      <c r="P474" s="116" t="s">
        <v>92</v>
      </c>
      <c r="Q474" s="117"/>
      <c r="R474" s="118"/>
      <c r="S474" s="117"/>
      <c r="T474" s="116"/>
      <c r="V474" s="131"/>
    </row>
    <row r="475" spans="1:22" s="114" customFormat="1" ht="15">
      <c r="A475" s="12" t="s">
        <v>92</v>
      </c>
      <c r="B475" s="65">
        <v>42061.55972222222</v>
      </c>
      <c r="C475" s="14">
        <v>131.5</v>
      </c>
      <c r="D475" s="15">
        <v>50</v>
      </c>
      <c r="E475" s="15">
        <f t="shared" si="100"/>
        <v>6586</v>
      </c>
      <c r="F475" s="13"/>
      <c r="G475" s="14">
        <v>136.9</v>
      </c>
      <c r="H475" s="15">
        <f t="shared" si="101"/>
        <v>6845</v>
      </c>
      <c r="I475" s="16">
        <f t="shared" si="102"/>
        <v>259</v>
      </c>
      <c r="J475" s="19">
        <f>I475/E475</f>
        <v>0.03932584269662921</v>
      </c>
      <c r="K475" s="95" t="s">
        <v>145</v>
      </c>
      <c r="L475" s="97">
        <v>123.03</v>
      </c>
      <c r="M475" s="41">
        <f t="shared" si="104"/>
        <v>122.295</v>
      </c>
      <c r="N475" s="118">
        <v>141.88</v>
      </c>
      <c r="O475" s="116"/>
      <c r="P475" s="116" t="s">
        <v>92</v>
      </c>
      <c r="Q475" s="117"/>
      <c r="R475" s="118"/>
      <c r="S475" s="117"/>
      <c r="T475" s="116"/>
      <c r="V475" s="131"/>
    </row>
    <row r="476" spans="1:22" s="114" customFormat="1" ht="15">
      <c r="A476" s="12" t="s">
        <v>80</v>
      </c>
      <c r="B476" s="65">
        <v>42011.30486111111</v>
      </c>
      <c r="C476" s="14">
        <v>58.02</v>
      </c>
      <c r="D476" s="15">
        <v>250</v>
      </c>
      <c r="E476" s="15">
        <f t="shared" si="100"/>
        <v>14516</v>
      </c>
      <c r="F476" s="13"/>
      <c r="G476" s="14">
        <v>73.51</v>
      </c>
      <c r="H476" s="15">
        <f t="shared" si="101"/>
        <v>18377.5</v>
      </c>
      <c r="I476" s="16">
        <f t="shared" si="102"/>
        <v>3861.5</v>
      </c>
      <c r="J476" s="19">
        <f aca="true" t="shared" si="105" ref="J476:J505">I476/E476</f>
        <v>0.26601680903830255</v>
      </c>
      <c r="K476" s="95" t="s">
        <v>81</v>
      </c>
      <c r="L476" s="97">
        <v>63.59</v>
      </c>
      <c r="M476" s="41">
        <f t="shared" si="104"/>
        <v>53.958600000000004</v>
      </c>
      <c r="N476" s="118">
        <v>76.6</v>
      </c>
      <c r="O476" s="121">
        <v>42090</v>
      </c>
      <c r="P476" s="116" t="s">
        <v>80</v>
      </c>
      <c r="Q476" s="117">
        <v>74.37</v>
      </c>
      <c r="R476" s="118">
        <f>Q476*0.855</f>
        <v>63.58635</v>
      </c>
      <c r="S476" s="117">
        <f>1.11*C476</f>
        <v>64.40220000000001</v>
      </c>
      <c r="T476" s="116"/>
      <c r="V476" s="131"/>
    </row>
    <row r="477" spans="1:22" s="114" customFormat="1" ht="15">
      <c r="A477" s="12" t="s">
        <v>80</v>
      </c>
      <c r="B477" s="65">
        <v>42011.40694444445</v>
      </c>
      <c r="C477" s="14">
        <v>59.16</v>
      </c>
      <c r="D477" s="15">
        <v>150</v>
      </c>
      <c r="E477" s="15">
        <f t="shared" si="100"/>
        <v>8885</v>
      </c>
      <c r="F477" s="13"/>
      <c r="G477" s="14">
        <v>73.51</v>
      </c>
      <c r="H477" s="15">
        <f t="shared" si="101"/>
        <v>11026.5</v>
      </c>
      <c r="I477" s="16">
        <f t="shared" si="102"/>
        <v>2141.5</v>
      </c>
      <c r="J477" s="122">
        <f t="shared" si="105"/>
        <v>0.24102419808666292</v>
      </c>
      <c r="K477" s="95" t="s">
        <v>82</v>
      </c>
      <c r="L477" s="97">
        <v>63.59</v>
      </c>
      <c r="M477" s="41">
        <f t="shared" si="104"/>
        <v>55.0188</v>
      </c>
      <c r="N477" s="118">
        <v>77.93</v>
      </c>
      <c r="O477" s="116"/>
      <c r="P477" s="116" t="s">
        <v>80</v>
      </c>
      <c r="Q477" s="117"/>
      <c r="R477" s="118"/>
      <c r="S477" s="117"/>
      <c r="T477" s="116"/>
      <c r="V477" s="131"/>
    </row>
    <row r="478" spans="1:22" s="114" customFormat="1" ht="15">
      <c r="A478" s="12" t="s">
        <v>80</v>
      </c>
      <c r="B478" s="65">
        <v>42012.29305555556</v>
      </c>
      <c r="C478" s="14">
        <v>60.3</v>
      </c>
      <c r="D478" s="15">
        <v>100</v>
      </c>
      <c r="E478" s="15">
        <f t="shared" si="100"/>
        <v>6041</v>
      </c>
      <c r="F478" s="13"/>
      <c r="G478" s="14">
        <v>73.51</v>
      </c>
      <c r="H478" s="15">
        <f t="shared" si="101"/>
        <v>7351.000000000001</v>
      </c>
      <c r="I478" s="16">
        <f t="shared" si="102"/>
        <v>1310.000000000001</v>
      </c>
      <c r="J478" s="19">
        <f t="shared" si="105"/>
        <v>0.21685151464989255</v>
      </c>
      <c r="K478" s="95" t="s">
        <v>83</v>
      </c>
      <c r="L478" s="97">
        <v>63.59</v>
      </c>
      <c r="M478" s="41">
        <f t="shared" si="104"/>
        <v>56.079</v>
      </c>
      <c r="N478" s="118">
        <v>77.93</v>
      </c>
      <c r="O478" s="116"/>
      <c r="P478" s="116" t="s">
        <v>80</v>
      </c>
      <c r="Q478" s="117"/>
      <c r="R478" s="118"/>
      <c r="S478" s="117"/>
      <c r="T478" s="116"/>
      <c r="V478" s="131"/>
    </row>
    <row r="479" spans="1:22" s="114" customFormat="1" ht="15">
      <c r="A479" s="12" t="s">
        <v>80</v>
      </c>
      <c r="B479" s="65">
        <v>42047.271527777775</v>
      </c>
      <c r="C479" s="14">
        <v>64.65</v>
      </c>
      <c r="D479" s="15">
        <v>100</v>
      </c>
      <c r="E479" s="15">
        <f t="shared" si="100"/>
        <v>6476.000000000001</v>
      </c>
      <c r="F479" s="13"/>
      <c r="G479" s="14">
        <v>73.51</v>
      </c>
      <c r="H479" s="15">
        <f t="shared" si="101"/>
        <v>7351.000000000001</v>
      </c>
      <c r="I479" s="16">
        <f t="shared" si="102"/>
        <v>875</v>
      </c>
      <c r="J479" s="19">
        <f t="shared" si="105"/>
        <v>0.13511426806670782</v>
      </c>
      <c r="K479" s="95" t="s">
        <v>132</v>
      </c>
      <c r="L479" s="97">
        <v>63.59</v>
      </c>
      <c r="M479" s="41">
        <f t="shared" si="104"/>
        <v>60.12450000000001</v>
      </c>
      <c r="N479" s="118">
        <v>77.93</v>
      </c>
      <c r="O479" s="116"/>
      <c r="P479" s="116" t="s">
        <v>80</v>
      </c>
      <c r="Q479" s="117"/>
      <c r="R479" s="118"/>
      <c r="S479" s="117"/>
      <c r="T479" s="116"/>
      <c r="V479" s="131"/>
    </row>
    <row r="480" spans="1:22" s="114" customFormat="1" ht="15">
      <c r="A480" s="12" t="s">
        <v>80</v>
      </c>
      <c r="B480" s="65">
        <v>42081.34097222222</v>
      </c>
      <c r="C480" s="14">
        <v>70</v>
      </c>
      <c r="D480" s="15">
        <v>120</v>
      </c>
      <c r="E480" s="15">
        <f t="shared" si="100"/>
        <v>8411</v>
      </c>
      <c r="F480" s="13"/>
      <c r="G480" s="14">
        <v>73.51</v>
      </c>
      <c r="H480" s="15">
        <f t="shared" si="101"/>
        <v>8821.2</v>
      </c>
      <c r="I480" s="16">
        <f t="shared" si="102"/>
        <v>410.2000000000007</v>
      </c>
      <c r="J480" s="19">
        <f t="shared" si="105"/>
        <v>0.04876946855308533</v>
      </c>
      <c r="K480" s="95" t="s">
        <v>181</v>
      </c>
      <c r="L480" s="97"/>
      <c r="M480" s="20">
        <f t="shared" si="104"/>
        <v>65.10000000000001</v>
      </c>
      <c r="N480" s="118">
        <v>77.93</v>
      </c>
      <c r="O480" s="116"/>
      <c r="P480" s="116" t="s">
        <v>80</v>
      </c>
      <c r="Q480" s="117"/>
      <c r="R480" s="118"/>
      <c r="S480" s="117"/>
      <c r="T480" s="116"/>
      <c r="V480" s="131"/>
    </row>
    <row r="481" spans="1:20" s="114" customFormat="1" ht="15">
      <c r="A481" s="12" t="s">
        <v>61</v>
      </c>
      <c r="B481" s="65">
        <v>42040.27847222222</v>
      </c>
      <c r="C481" s="14">
        <v>132.85</v>
      </c>
      <c r="D481" s="15">
        <v>110</v>
      </c>
      <c r="E481" s="15">
        <f t="shared" si="100"/>
        <v>14624.5</v>
      </c>
      <c r="F481" s="135" t="s">
        <v>215</v>
      </c>
      <c r="G481" s="14">
        <v>152.05</v>
      </c>
      <c r="H481" s="15">
        <f t="shared" si="101"/>
        <v>16725.5</v>
      </c>
      <c r="I481" s="16">
        <f t="shared" si="102"/>
        <v>2101</v>
      </c>
      <c r="J481" s="19">
        <f t="shared" si="105"/>
        <v>0.1436630312147424</v>
      </c>
      <c r="K481" s="95" t="s">
        <v>134</v>
      </c>
      <c r="L481" s="119">
        <v>133.64</v>
      </c>
      <c r="M481" s="41">
        <f t="shared" si="104"/>
        <v>123.5505</v>
      </c>
      <c r="N481" s="118">
        <v>168.13</v>
      </c>
      <c r="O481" s="121">
        <v>42086</v>
      </c>
      <c r="P481" s="116" t="s">
        <v>61</v>
      </c>
      <c r="Q481" s="117">
        <v>156.3</v>
      </c>
      <c r="R481" s="118">
        <f>Q481*0.855</f>
        <v>133.6365</v>
      </c>
      <c r="S481" s="117">
        <f>1.11*C481</f>
        <v>147.4635</v>
      </c>
      <c r="T481" s="116"/>
    </row>
    <row r="482" spans="1:20" s="114" customFormat="1" ht="15">
      <c r="A482" s="12" t="s">
        <v>61</v>
      </c>
      <c r="B482" s="65">
        <v>42045.27291666667</v>
      </c>
      <c r="C482" s="14">
        <v>135.9</v>
      </c>
      <c r="D482" s="15">
        <v>65</v>
      </c>
      <c r="E482" s="15">
        <f t="shared" si="100"/>
        <v>8844.5</v>
      </c>
      <c r="F482" s="13"/>
      <c r="G482" s="14">
        <v>152.05</v>
      </c>
      <c r="H482" s="15">
        <f t="shared" si="101"/>
        <v>9883.25</v>
      </c>
      <c r="I482" s="16">
        <f t="shared" si="102"/>
        <v>1038.75</v>
      </c>
      <c r="J482" s="19">
        <f t="shared" si="105"/>
        <v>0.11744587031488496</v>
      </c>
      <c r="K482" s="95" t="s">
        <v>141</v>
      </c>
      <c r="L482" s="119">
        <v>133.64</v>
      </c>
      <c r="M482" s="41">
        <f t="shared" si="104"/>
        <v>126.38700000000001</v>
      </c>
      <c r="N482" s="118">
        <v>168.13</v>
      </c>
      <c r="O482" s="116"/>
      <c r="P482" s="116" t="s">
        <v>61</v>
      </c>
      <c r="Q482" s="117"/>
      <c r="R482" s="118"/>
      <c r="S482" s="117"/>
      <c r="T482" s="116"/>
    </row>
    <row r="483" spans="1:20" s="114" customFormat="1" ht="15">
      <c r="A483" s="12" t="s">
        <v>61</v>
      </c>
      <c r="B483" s="65">
        <v>42054.277083333334</v>
      </c>
      <c r="C483" s="14">
        <v>139.17</v>
      </c>
      <c r="D483" s="15">
        <v>40</v>
      </c>
      <c r="E483" s="15">
        <f t="shared" si="100"/>
        <v>5577.799999999999</v>
      </c>
      <c r="F483" s="13"/>
      <c r="G483" s="14">
        <v>152.05</v>
      </c>
      <c r="H483" s="15">
        <f t="shared" si="101"/>
        <v>6082</v>
      </c>
      <c r="I483" s="16">
        <f t="shared" si="102"/>
        <v>504.2000000000007</v>
      </c>
      <c r="J483" s="19">
        <f t="shared" si="105"/>
        <v>0.09039406217505123</v>
      </c>
      <c r="K483" s="95" t="s">
        <v>140</v>
      </c>
      <c r="L483" s="119">
        <v>133.64</v>
      </c>
      <c r="M483" s="41">
        <f t="shared" si="104"/>
        <v>129.4281</v>
      </c>
      <c r="N483" s="118">
        <v>168.13</v>
      </c>
      <c r="O483" s="116"/>
      <c r="P483" s="116" t="s">
        <v>61</v>
      </c>
      <c r="Q483" s="117"/>
      <c r="R483" s="118"/>
      <c r="S483" s="117"/>
      <c r="T483" s="116"/>
    </row>
    <row r="484" spans="1:20" s="114" customFormat="1" ht="15">
      <c r="A484" s="12" t="s">
        <v>61</v>
      </c>
      <c r="B484" s="65">
        <v>42075.56458333333</v>
      </c>
      <c r="C484" s="14">
        <v>154</v>
      </c>
      <c r="D484" s="15">
        <v>40</v>
      </c>
      <c r="E484" s="15">
        <f t="shared" si="100"/>
        <v>6171</v>
      </c>
      <c r="F484" s="13"/>
      <c r="G484" s="14">
        <v>152.05</v>
      </c>
      <c r="H484" s="15">
        <f t="shared" si="101"/>
        <v>6082</v>
      </c>
      <c r="I484" s="16">
        <f t="shared" si="102"/>
        <v>-89</v>
      </c>
      <c r="J484" s="19">
        <f t="shared" si="105"/>
        <v>-0.014422297844757738</v>
      </c>
      <c r="K484" s="95" t="s">
        <v>160</v>
      </c>
      <c r="L484" s="119"/>
      <c r="M484" s="20">
        <f t="shared" si="104"/>
        <v>143.22</v>
      </c>
      <c r="N484" s="118">
        <v>168.13</v>
      </c>
      <c r="O484" s="116"/>
      <c r="P484" s="116" t="s">
        <v>61</v>
      </c>
      <c r="Q484" s="117"/>
      <c r="R484" s="118"/>
      <c r="S484" s="117"/>
      <c r="T484" s="116"/>
    </row>
    <row r="485" spans="1:20" s="114" customFormat="1" ht="15">
      <c r="A485" s="85" t="s">
        <v>61</v>
      </c>
      <c r="B485" s="65">
        <v>42109.27222222222</v>
      </c>
      <c r="C485" s="14">
        <v>156.13</v>
      </c>
      <c r="D485" s="15">
        <v>50</v>
      </c>
      <c r="E485" s="15">
        <f t="shared" si="100"/>
        <v>7817.5</v>
      </c>
      <c r="F485" s="13"/>
      <c r="G485" s="14">
        <v>152.05</v>
      </c>
      <c r="H485" s="15">
        <f t="shared" si="101"/>
        <v>7602.500000000001</v>
      </c>
      <c r="I485" s="16">
        <f t="shared" si="102"/>
        <v>-214.9999999999991</v>
      </c>
      <c r="J485" s="19">
        <f t="shared" si="105"/>
        <v>-0.027502398464982297</v>
      </c>
      <c r="K485" s="95" t="s">
        <v>221</v>
      </c>
      <c r="L485" s="119"/>
      <c r="M485" s="20">
        <f t="shared" si="104"/>
        <v>145.2009</v>
      </c>
      <c r="N485" s="118">
        <v>168.13</v>
      </c>
      <c r="O485" s="116"/>
      <c r="P485" s="116" t="s">
        <v>61</v>
      </c>
      <c r="Q485" s="117"/>
      <c r="R485" s="118"/>
      <c r="S485" s="117"/>
      <c r="T485" s="116"/>
    </row>
    <row r="486" spans="1:20" s="114" customFormat="1" ht="15">
      <c r="A486" s="12" t="s">
        <v>52</v>
      </c>
      <c r="B486" s="65">
        <v>42046.27361111111</v>
      </c>
      <c r="C486" s="14">
        <v>129.75</v>
      </c>
      <c r="D486" s="15">
        <v>80</v>
      </c>
      <c r="E486" s="15">
        <f t="shared" si="100"/>
        <v>10391</v>
      </c>
      <c r="F486" s="65"/>
      <c r="G486" s="14">
        <v>142.5</v>
      </c>
      <c r="H486" s="15">
        <f t="shared" si="101"/>
        <v>11400</v>
      </c>
      <c r="I486" s="16">
        <f t="shared" si="102"/>
        <v>1009</v>
      </c>
      <c r="J486" s="19">
        <f t="shared" si="105"/>
        <v>0.09710326243864884</v>
      </c>
      <c r="K486" s="95" t="s">
        <v>135</v>
      </c>
      <c r="L486" s="119">
        <v>128.63</v>
      </c>
      <c r="M486" s="41">
        <f t="shared" si="104"/>
        <v>120.6675</v>
      </c>
      <c r="N486" s="118">
        <v>161.78</v>
      </c>
      <c r="O486" s="121">
        <f>WORKDAY(B486,40,'Weekly Summary'!P$2:P$10)</f>
        <v>42104</v>
      </c>
      <c r="P486" s="116" t="s">
        <v>52</v>
      </c>
      <c r="Q486" s="117">
        <v>150.44</v>
      </c>
      <c r="R486" s="118">
        <f>Q486*0.855</f>
        <v>128.62619999999998</v>
      </c>
      <c r="S486" s="117">
        <f>1.11*C486</f>
        <v>144.0225</v>
      </c>
      <c r="T486" s="116"/>
    </row>
    <row r="487" spans="1:20" s="114" customFormat="1" ht="15">
      <c r="A487" s="12" t="s">
        <v>52</v>
      </c>
      <c r="B487" s="65">
        <v>42047.275</v>
      </c>
      <c r="C487" s="14">
        <v>133.95</v>
      </c>
      <c r="D487" s="15">
        <v>45</v>
      </c>
      <c r="E487" s="15">
        <f t="shared" si="100"/>
        <v>6038.749999999999</v>
      </c>
      <c r="F487" s="13"/>
      <c r="G487" s="14">
        <v>142.5</v>
      </c>
      <c r="H487" s="15">
        <f t="shared" si="101"/>
        <v>6412.5</v>
      </c>
      <c r="I487" s="16">
        <f t="shared" si="102"/>
        <v>373.7500000000009</v>
      </c>
      <c r="J487" s="19">
        <f t="shared" si="105"/>
        <v>0.06189194783688693</v>
      </c>
      <c r="K487" s="95" t="s">
        <v>136</v>
      </c>
      <c r="L487" s="119">
        <v>128.63</v>
      </c>
      <c r="M487" s="41">
        <f t="shared" si="104"/>
        <v>124.5735</v>
      </c>
      <c r="N487" s="118">
        <v>161.78</v>
      </c>
      <c r="O487" s="116"/>
      <c r="P487" s="116" t="s">
        <v>52</v>
      </c>
      <c r="Q487" s="117"/>
      <c r="R487" s="118"/>
      <c r="S487" s="117"/>
      <c r="T487" s="116"/>
    </row>
    <row r="488" spans="1:20" s="114" customFormat="1" ht="15">
      <c r="A488" s="12" t="s">
        <v>52</v>
      </c>
      <c r="B488" s="65">
        <v>42048.450694444444</v>
      </c>
      <c r="C488" s="14">
        <v>135.8</v>
      </c>
      <c r="D488" s="15">
        <v>30</v>
      </c>
      <c r="E488" s="15">
        <f t="shared" si="100"/>
        <v>4085.0000000000005</v>
      </c>
      <c r="F488" s="13"/>
      <c r="G488" s="14">
        <v>142.5</v>
      </c>
      <c r="H488" s="15">
        <f t="shared" si="101"/>
        <v>4275</v>
      </c>
      <c r="I488" s="16">
        <f t="shared" si="102"/>
        <v>189.99999999999955</v>
      </c>
      <c r="J488" s="19">
        <f t="shared" si="105"/>
        <v>0.046511627906976626</v>
      </c>
      <c r="K488" s="95" t="s">
        <v>143</v>
      </c>
      <c r="L488" s="119">
        <v>128.63</v>
      </c>
      <c r="M488" s="41">
        <f t="shared" si="104"/>
        <v>126.29400000000001</v>
      </c>
      <c r="N488" s="118">
        <v>161.78</v>
      </c>
      <c r="O488" s="116"/>
      <c r="P488" s="116" t="s">
        <v>52</v>
      </c>
      <c r="Q488" s="117"/>
      <c r="R488" s="118"/>
      <c r="S488" s="117"/>
      <c r="T488" s="116"/>
    </row>
    <row r="489" spans="1:20" s="114" customFormat="1" ht="15">
      <c r="A489" s="12" t="s">
        <v>52</v>
      </c>
      <c r="B489" s="65">
        <v>42074.29027777778</v>
      </c>
      <c r="C489" s="14">
        <v>140.55</v>
      </c>
      <c r="D489" s="15">
        <v>30</v>
      </c>
      <c r="E489" s="15">
        <f t="shared" si="100"/>
        <v>4227.5</v>
      </c>
      <c r="F489" s="13"/>
      <c r="G489" s="14">
        <v>142.5</v>
      </c>
      <c r="H489" s="15">
        <f t="shared" si="101"/>
        <v>4275</v>
      </c>
      <c r="I489" s="16">
        <f t="shared" si="102"/>
        <v>47.5</v>
      </c>
      <c r="J489" s="19">
        <f t="shared" si="105"/>
        <v>0.011235955056179775</v>
      </c>
      <c r="K489" s="95" t="s">
        <v>182</v>
      </c>
      <c r="L489" s="119"/>
      <c r="M489" s="20">
        <f t="shared" si="104"/>
        <v>130.71150000000003</v>
      </c>
      <c r="N489" s="118">
        <v>161.78</v>
      </c>
      <c r="O489" s="116"/>
      <c r="P489" s="116" t="s">
        <v>52</v>
      </c>
      <c r="Q489" s="117"/>
      <c r="R489" s="118"/>
      <c r="S489" s="117"/>
      <c r="T489" s="116"/>
    </row>
    <row r="490" spans="1:20" s="114" customFormat="1" ht="15">
      <c r="A490" s="12" t="s">
        <v>52</v>
      </c>
      <c r="B490" s="65">
        <v>42093.27638888889</v>
      </c>
      <c r="C490" s="14">
        <v>149.29</v>
      </c>
      <c r="D490" s="15">
        <v>40</v>
      </c>
      <c r="E490" s="15">
        <f t="shared" si="100"/>
        <v>5982.599999999999</v>
      </c>
      <c r="F490" s="13"/>
      <c r="G490" s="14">
        <v>142.5</v>
      </c>
      <c r="H490" s="15">
        <f t="shared" si="101"/>
        <v>5700</v>
      </c>
      <c r="I490" s="16">
        <f t="shared" si="102"/>
        <v>-282.59999999999945</v>
      </c>
      <c r="J490" s="19">
        <f t="shared" si="105"/>
        <v>-0.047236987263062795</v>
      </c>
      <c r="K490" s="95" t="s">
        <v>213</v>
      </c>
      <c r="L490" s="119"/>
      <c r="M490" s="20">
        <f t="shared" si="104"/>
        <v>138.8397</v>
      </c>
      <c r="N490" s="118">
        <v>161.78</v>
      </c>
      <c r="O490" s="116"/>
      <c r="P490" s="116" t="s">
        <v>52</v>
      </c>
      <c r="Q490" s="117"/>
      <c r="R490" s="118"/>
      <c r="S490" s="117"/>
      <c r="T490" s="116"/>
    </row>
    <row r="491" spans="1:20" s="114" customFormat="1" ht="15">
      <c r="A491" s="12" t="s">
        <v>39</v>
      </c>
      <c r="B491" s="65">
        <v>42062.53680555556</v>
      </c>
      <c r="C491" s="14">
        <v>57.65</v>
      </c>
      <c r="D491" s="15">
        <v>100</v>
      </c>
      <c r="E491" s="15">
        <f t="shared" si="100"/>
        <v>5776</v>
      </c>
      <c r="F491" s="13"/>
      <c r="G491" s="14">
        <v>72.84</v>
      </c>
      <c r="H491" s="15">
        <f t="shared" si="101"/>
        <v>7284</v>
      </c>
      <c r="I491" s="16">
        <f t="shared" si="102"/>
        <v>1508</v>
      </c>
      <c r="J491" s="19">
        <f t="shared" si="105"/>
        <v>0.2610803324099723</v>
      </c>
      <c r="K491" s="95" t="s">
        <v>149</v>
      </c>
      <c r="L491" s="119">
        <v>66.17</v>
      </c>
      <c r="M491" s="41">
        <f t="shared" si="104"/>
        <v>53.6145</v>
      </c>
      <c r="N491" s="118">
        <v>79</v>
      </c>
      <c r="O491" s="121">
        <v>42124</v>
      </c>
      <c r="P491" s="116" t="s">
        <v>39</v>
      </c>
      <c r="Q491" s="117">
        <v>77.39</v>
      </c>
      <c r="R491" s="118">
        <f>Q491*0.855</f>
        <v>66.16844999999999</v>
      </c>
      <c r="S491" s="117">
        <f>1.11*C491</f>
        <v>63.9915</v>
      </c>
      <c r="T491" s="116"/>
    </row>
    <row r="492" spans="1:20" s="114" customFormat="1" ht="15">
      <c r="A492" s="12" t="s">
        <v>39</v>
      </c>
      <c r="B492" s="65">
        <v>42073.322916666664</v>
      </c>
      <c r="C492" s="14">
        <v>65.15</v>
      </c>
      <c r="D492" s="15">
        <v>350</v>
      </c>
      <c r="E492" s="15">
        <f t="shared" si="100"/>
        <v>22813.500000000004</v>
      </c>
      <c r="F492" s="13"/>
      <c r="G492" s="14">
        <v>72.84</v>
      </c>
      <c r="H492" s="15">
        <f t="shared" si="101"/>
        <v>25494</v>
      </c>
      <c r="I492" s="16">
        <f t="shared" si="102"/>
        <v>2680.4999999999964</v>
      </c>
      <c r="J492" s="19">
        <f t="shared" si="105"/>
        <v>0.11749621934380941</v>
      </c>
      <c r="K492" s="95" t="s">
        <v>164</v>
      </c>
      <c r="L492" s="119">
        <v>66.17</v>
      </c>
      <c r="M492" s="41">
        <f t="shared" si="104"/>
        <v>60.58950000000001</v>
      </c>
      <c r="N492" s="118">
        <v>79</v>
      </c>
      <c r="O492" s="116"/>
      <c r="P492" s="116" t="s">
        <v>39</v>
      </c>
      <c r="Q492" s="117"/>
      <c r="R492" s="118"/>
      <c r="S492" s="117"/>
      <c r="T492" s="116"/>
    </row>
    <row r="493" spans="1:20" s="114" customFormat="1" ht="15">
      <c r="A493" s="12" t="s">
        <v>39</v>
      </c>
      <c r="B493" s="65">
        <v>42073.35555555556</v>
      </c>
      <c r="C493" s="14">
        <v>66.15</v>
      </c>
      <c r="D493" s="15">
        <v>110</v>
      </c>
      <c r="E493" s="15">
        <f t="shared" si="100"/>
        <v>7287.500000000001</v>
      </c>
      <c r="F493" s="13"/>
      <c r="G493" s="14">
        <v>72.84</v>
      </c>
      <c r="H493" s="15">
        <f t="shared" si="101"/>
        <v>8012.400000000001</v>
      </c>
      <c r="I493" s="16">
        <f t="shared" si="102"/>
        <v>724.8999999999996</v>
      </c>
      <c r="J493" s="19">
        <f t="shared" si="105"/>
        <v>0.09947169811320748</v>
      </c>
      <c r="K493" s="95" t="s">
        <v>165</v>
      </c>
      <c r="L493" s="119">
        <v>66.17</v>
      </c>
      <c r="M493" s="41">
        <f t="shared" si="104"/>
        <v>61.51950000000001</v>
      </c>
      <c r="N493" s="118">
        <v>79</v>
      </c>
      <c r="O493" s="116"/>
      <c r="P493" s="116" t="s">
        <v>39</v>
      </c>
      <c r="Q493" s="117"/>
      <c r="R493" s="118"/>
      <c r="S493" s="117"/>
      <c r="T493" s="116"/>
    </row>
    <row r="494" spans="1:20" s="114" customFormat="1" ht="15">
      <c r="A494" s="12" t="s">
        <v>39</v>
      </c>
      <c r="B494" s="65">
        <v>42093.34375</v>
      </c>
      <c r="C494" s="14">
        <v>73.37</v>
      </c>
      <c r="D494" s="15">
        <v>110</v>
      </c>
      <c r="E494" s="15">
        <f t="shared" si="100"/>
        <v>8081.700000000001</v>
      </c>
      <c r="F494" s="13"/>
      <c r="G494" s="14">
        <v>72.84</v>
      </c>
      <c r="H494" s="15">
        <f t="shared" si="101"/>
        <v>8012.400000000001</v>
      </c>
      <c r="I494" s="16">
        <f t="shared" si="102"/>
        <v>-69.30000000000018</v>
      </c>
      <c r="J494" s="19">
        <f t="shared" si="105"/>
        <v>-0.00857492854226217</v>
      </c>
      <c r="K494" s="95" t="s">
        <v>214</v>
      </c>
      <c r="L494" s="119"/>
      <c r="M494" s="20">
        <f t="shared" si="104"/>
        <v>68.23410000000001</v>
      </c>
      <c r="N494" s="118">
        <v>79</v>
      </c>
      <c r="O494" s="116"/>
      <c r="P494" s="116" t="s">
        <v>39</v>
      </c>
      <c r="Q494" s="117"/>
      <c r="R494" s="118"/>
      <c r="S494" s="117"/>
      <c r="T494" s="116"/>
    </row>
    <row r="495" spans="1:20" s="114" customFormat="1" ht="15">
      <c r="A495" s="12" t="s">
        <v>169</v>
      </c>
      <c r="B495" s="65">
        <v>42076.538194444445</v>
      </c>
      <c r="C495" s="14">
        <v>56.64</v>
      </c>
      <c r="D495" s="15">
        <v>320</v>
      </c>
      <c r="E495" s="15">
        <f t="shared" si="100"/>
        <v>18135.8</v>
      </c>
      <c r="F495" s="13"/>
      <c r="G495" s="14">
        <v>58.77</v>
      </c>
      <c r="H495" s="15">
        <f t="shared" si="101"/>
        <v>18806.4</v>
      </c>
      <c r="I495" s="16">
        <f t="shared" si="102"/>
        <v>670.6000000000022</v>
      </c>
      <c r="J495" s="19">
        <f t="shared" si="105"/>
        <v>0.03697658774357912</v>
      </c>
      <c r="K495" s="95" t="s">
        <v>170</v>
      </c>
      <c r="L495" s="119"/>
      <c r="M495" s="20">
        <f t="shared" si="104"/>
        <v>52.675200000000004</v>
      </c>
      <c r="N495" s="118">
        <v>71.25</v>
      </c>
      <c r="O495" s="121">
        <v>42132</v>
      </c>
      <c r="P495" s="116" t="s">
        <v>169</v>
      </c>
      <c r="Q495" s="117">
        <v>59.71</v>
      </c>
      <c r="R495" s="118">
        <f>Q495*0.855</f>
        <v>51.05205</v>
      </c>
      <c r="S495" s="117">
        <f>1.11*C495</f>
        <v>62.870400000000004</v>
      </c>
      <c r="T495" s="116"/>
    </row>
    <row r="496" spans="1:20" s="114" customFormat="1" ht="15">
      <c r="A496" s="12" t="s">
        <v>169</v>
      </c>
      <c r="B496" s="65">
        <v>42082.302777777775</v>
      </c>
      <c r="C496" s="14">
        <v>57.9</v>
      </c>
      <c r="D496" s="15">
        <v>190</v>
      </c>
      <c r="E496" s="15">
        <f t="shared" si="100"/>
        <v>11012</v>
      </c>
      <c r="F496" s="13"/>
      <c r="G496" s="14">
        <v>58.77</v>
      </c>
      <c r="H496" s="15">
        <f t="shared" si="101"/>
        <v>11166.300000000001</v>
      </c>
      <c r="I496" s="16">
        <f t="shared" si="102"/>
        <v>154.3000000000011</v>
      </c>
      <c r="J496" s="19">
        <f t="shared" si="105"/>
        <v>0.014011986923356437</v>
      </c>
      <c r="K496" s="95" t="s">
        <v>217</v>
      </c>
      <c r="L496" s="119"/>
      <c r="M496" s="20">
        <f t="shared" si="104"/>
        <v>53.847</v>
      </c>
      <c r="N496" s="118">
        <v>71.25</v>
      </c>
      <c r="O496" s="116"/>
      <c r="P496" s="116" t="s">
        <v>169</v>
      </c>
      <c r="Q496" s="117"/>
      <c r="R496" s="118"/>
      <c r="S496" s="117"/>
      <c r="T496" s="116"/>
    </row>
    <row r="497" spans="1:20" s="114" customFormat="1" ht="15">
      <c r="A497" s="12" t="s">
        <v>169</v>
      </c>
      <c r="B497" s="65">
        <v>42103.433333333334</v>
      </c>
      <c r="C497" s="14">
        <v>59.27</v>
      </c>
      <c r="D497" s="15">
        <v>125</v>
      </c>
      <c r="E497" s="15">
        <f t="shared" si="100"/>
        <v>7419.75</v>
      </c>
      <c r="F497" s="13"/>
      <c r="G497" s="14">
        <v>58.77</v>
      </c>
      <c r="H497" s="15">
        <f t="shared" si="101"/>
        <v>7346.25</v>
      </c>
      <c r="I497" s="16">
        <f t="shared" si="102"/>
        <v>-73.5</v>
      </c>
      <c r="J497" s="19">
        <f t="shared" si="105"/>
        <v>-0.009905994137268776</v>
      </c>
      <c r="K497" s="95" t="s">
        <v>216</v>
      </c>
      <c r="L497" s="119"/>
      <c r="M497" s="20">
        <f t="shared" si="104"/>
        <v>55.121100000000006</v>
      </c>
      <c r="N497" s="118">
        <v>71.25</v>
      </c>
      <c r="O497" s="116"/>
      <c r="P497" s="116" t="s">
        <v>169</v>
      </c>
      <c r="Q497" s="117"/>
      <c r="R497" s="118"/>
      <c r="S497" s="117"/>
      <c r="T497" s="116"/>
    </row>
    <row r="498" spans="1:20" s="114" customFormat="1" ht="15">
      <c r="A498" s="12" t="s">
        <v>45</v>
      </c>
      <c r="B498" s="65">
        <v>42080.325694444444</v>
      </c>
      <c r="C498" s="14">
        <v>20.12</v>
      </c>
      <c r="D498" s="15">
        <v>1000</v>
      </c>
      <c r="E498" s="15">
        <f t="shared" si="100"/>
        <v>20131</v>
      </c>
      <c r="F498" s="13"/>
      <c r="G498" s="14">
        <v>29.41</v>
      </c>
      <c r="H498" s="15">
        <f t="shared" si="101"/>
        <v>29410</v>
      </c>
      <c r="I498" s="16">
        <f t="shared" si="102"/>
        <v>9279</v>
      </c>
      <c r="J498" s="19">
        <f t="shared" si="105"/>
        <v>0.4609309025880483</v>
      </c>
      <c r="K498" s="95" t="s">
        <v>186</v>
      </c>
      <c r="L498" s="119">
        <v>26.18</v>
      </c>
      <c r="M498" s="41">
        <f t="shared" si="104"/>
        <v>18.7116</v>
      </c>
      <c r="N498" s="118">
        <v>32</v>
      </c>
      <c r="O498" s="121">
        <v>42159</v>
      </c>
      <c r="P498" s="116" t="s">
        <v>45</v>
      </c>
      <c r="Q498" s="117">
        <v>30.62</v>
      </c>
      <c r="R498" s="118">
        <f>Q498*0.855</f>
        <v>26.1801</v>
      </c>
      <c r="S498" s="117">
        <f>1.11*C498</f>
        <v>22.3332</v>
      </c>
      <c r="T498" s="116"/>
    </row>
    <row r="499" spans="1:20" s="114" customFormat="1" ht="15">
      <c r="A499" s="12" t="s">
        <v>45</v>
      </c>
      <c r="B499" s="65">
        <v>42081.30972222222</v>
      </c>
      <c r="C499" s="14">
        <v>21.46</v>
      </c>
      <c r="D499" s="15">
        <v>500</v>
      </c>
      <c r="E499" s="15">
        <f t="shared" si="100"/>
        <v>10741</v>
      </c>
      <c r="F499" s="13"/>
      <c r="G499" s="14">
        <v>29.41</v>
      </c>
      <c r="H499" s="15">
        <f t="shared" si="101"/>
        <v>14705</v>
      </c>
      <c r="I499" s="16">
        <f t="shared" si="102"/>
        <v>3964</v>
      </c>
      <c r="J499" s="19">
        <f t="shared" si="105"/>
        <v>0.36905316078577416</v>
      </c>
      <c r="K499" s="95" t="s">
        <v>198</v>
      </c>
      <c r="L499" s="119">
        <v>26.18</v>
      </c>
      <c r="M499" s="41">
        <f t="shared" si="104"/>
        <v>19.957800000000002</v>
      </c>
      <c r="N499" s="118">
        <v>32</v>
      </c>
      <c r="O499" s="116"/>
      <c r="P499" s="116" t="s">
        <v>45</v>
      </c>
      <c r="Q499" s="117"/>
      <c r="R499" s="118"/>
      <c r="S499" s="117"/>
      <c r="T499" s="116"/>
    </row>
    <row r="500" spans="1:20" s="114" customFormat="1" ht="15">
      <c r="A500" s="12" t="s">
        <v>45</v>
      </c>
      <c r="B500" s="65">
        <v>42082.32986111111</v>
      </c>
      <c r="C500" s="14">
        <v>23.1</v>
      </c>
      <c r="D500" s="15">
        <v>780</v>
      </c>
      <c r="E500" s="15">
        <f t="shared" si="100"/>
        <v>18029</v>
      </c>
      <c r="F500" s="13"/>
      <c r="G500" s="14">
        <v>29.41</v>
      </c>
      <c r="H500" s="15">
        <f t="shared" si="101"/>
        <v>22939.8</v>
      </c>
      <c r="I500" s="16">
        <f t="shared" si="102"/>
        <v>4910.799999999999</v>
      </c>
      <c r="J500" s="19">
        <f t="shared" si="105"/>
        <v>0.27238338232847076</v>
      </c>
      <c r="K500" s="95" t="s">
        <v>188</v>
      </c>
      <c r="L500" s="119">
        <v>26.18</v>
      </c>
      <c r="M500" s="41">
        <f t="shared" si="104"/>
        <v>21.483000000000004</v>
      </c>
      <c r="N500" s="118">
        <v>32</v>
      </c>
      <c r="O500" s="116"/>
      <c r="P500" s="116" t="s">
        <v>45</v>
      </c>
      <c r="Q500" s="117"/>
      <c r="R500" s="118"/>
      <c r="S500" s="117"/>
      <c r="T500" s="116"/>
    </row>
    <row r="501" spans="1:20" s="114" customFormat="1" ht="15">
      <c r="A501" s="12" t="s">
        <v>45</v>
      </c>
      <c r="B501" s="65">
        <v>42090.27291666667</v>
      </c>
      <c r="C501" s="14">
        <v>23.65</v>
      </c>
      <c r="D501" s="15">
        <v>510</v>
      </c>
      <c r="E501" s="15">
        <f t="shared" si="100"/>
        <v>12072.5</v>
      </c>
      <c r="F501" s="13"/>
      <c r="G501" s="14">
        <v>29.41</v>
      </c>
      <c r="H501" s="15">
        <f t="shared" si="101"/>
        <v>14999.1</v>
      </c>
      <c r="I501" s="16">
        <f t="shared" si="102"/>
        <v>2926.6000000000004</v>
      </c>
      <c r="J501" s="19">
        <f t="shared" si="105"/>
        <v>0.24241872023193212</v>
      </c>
      <c r="K501" s="95" t="s">
        <v>199</v>
      </c>
      <c r="L501" s="119">
        <v>26.18</v>
      </c>
      <c r="M501" s="41">
        <f t="shared" si="104"/>
        <v>21.9945</v>
      </c>
      <c r="N501" s="118">
        <v>32</v>
      </c>
      <c r="O501" s="116"/>
      <c r="P501" s="116" t="s">
        <v>45</v>
      </c>
      <c r="Q501" s="117"/>
      <c r="R501" s="118"/>
      <c r="S501" s="117"/>
      <c r="T501" s="116"/>
    </row>
    <row r="502" spans="1:20" s="114" customFormat="1" ht="15">
      <c r="A502" s="12" t="s">
        <v>45</v>
      </c>
      <c r="B502" s="65">
        <v>42102.27916666667</v>
      </c>
      <c r="C502" s="14">
        <v>26.2</v>
      </c>
      <c r="D502" s="15">
        <v>560</v>
      </c>
      <c r="E502" s="15">
        <f t="shared" si="100"/>
        <v>14683</v>
      </c>
      <c r="F502" s="13"/>
      <c r="G502" s="14">
        <v>29.41</v>
      </c>
      <c r="H502" s="15">
        <f t="shared" si="101"/>
        <v>16469.6</v>
      </c>
      <c r="I502" s="16">
        <f t="shared" si="102"/>
        <v>1786.5999999999985</v>
      </c>
      <c r="J502" s="19">
        <f t="shared" si="105"/>
        <v>0.1216781311721037</v>
      </c>
      <c r="K502" s="95" t="s">
        <v>218</v>
      </c>
      <c r="L502" s="119"/>
      <c r="M502" s="20">
        <f t="shared" si="104"/>
        <v>24.366</v>
      </c>
      <c r="N502" s="118">
        <v>32</v>
      </c>
      <c r="O502" s="116"/>
      <c r="P502" s="116" t="s">
        <v>45</v>
      </c>
      <c r="Q502" s="117"/>
      <c r="R502" s="118"/>
      <c r="S502" s="117"/>
      <c r="T502" s="116"/>
    </row>
    <row r="503" spans="1:20" s="114" customFormat="1" ht="15">
      <c r="A503" s="85" t="s">
        <v>45</v>
      </c>
      <c r="B503" s="65">
        <v>42109.40833333333</v>
      </c>
      <c r="C503" s="14">
        <v>29.02</v>
      </c>
      <c r="D503" s="15">
        <v>670</v>
      </c>
      <c r="E503" s="15">
        <f t="shared" si="100"/>
        <v>19454.4</v>
      </c>
      <c r="F503" s="13"/>
      <c r="G503" s="14">
        <v>29.41</v>
      </c>
      <c r="H503" s="15">
        <f t="shared" si="101"/>
        <v>19704.7</v>
      </c>
      <c r="I503" s="16">
        <f t="shared" si="102"/>
        <v>250.29999999999927</v>
      </c>
      <c r="J503" s="19">
        <f t="shared" si="105"/>
        <v>0.012865984044740483</v>
      </c>
      <c r="K503" s="95" t="s">
        <v>245</v>
      </c>
      <c r="L503" s="119"/>
      <c r="M503" s="20">
        <f t="shared" si="104"/>
        <v>26.9886</v>
      </c>
      <c r="N503" s="118">
        <v>32</v>
      </c>
      <c r="O503" s="116"/>
      <c r="P503" s="116" t="s">
        <v>45</v>
      </c>
      <c r="Q503" s="117"/>
      <c r="R503" s="118"/>
      <c r="S503" s="117"/>
      <c r="T503" s="116"/>
    </row>
    <row r="504" spans="1:20" s="114" customFormat="1" ht="15">
      <c r="A504" s="12" t="s">
        <v>208</v>
      </c>
      <c r="B504" s="65">
        <v>42090.308333333334</v>
      </c>
      <c r="C504" s="14">
        <v>214</v>
      </c>
      <c r="D504" s="15">
        <v>95</v>
      </c>
      <c r="E504" s="15">
        <f t="shared" si="100"/>
        <v>20341</v>
      </c>
      <c r="F504" s="13"/>
      <c r="G504" s="14">
        <v>220.01</v>
      </c>
      <c r="H504" s="15">
        <f t="shared" si="101"/>
        <v>20900.95</v>
      </c>
      <c r="I504" s="16">
        <f t="shared" si="102"/>
        <v>559.9500000000007</v>
      </c>
      <c r="J504" s="19">
        <f t="shared" si="105"/>
        <v>0.027528145125608413</v>
      </c>
      <c r="K504" s="95" t="s">
        <v>212</v>
      </c>
      <c r="L504" s="119"/>
      <c r="M504" s="20">
        <f t="shared" si="104"/>
        <v>199.02</v>
      </c>
      <c r="N504" s="118">
        <v>267.7</v>
      </c>
      <c r="O504" s="121">
        <v>42136</v>
      </c>
      <c r="P504" s="116" t="s">
        <v>208</v>
      </c>
      <c r="Q504" s="117">
        <v>222.94</v>
      </c>
      <c r="R504" s="118">
        <f>Q504*0.855</f>
        <v>190.6137</v>
      </c>
      <c r="S504" s="117">
        <f>1.11*C504</f>
        <v>237.54000000000002</v>
      </c>
      <c r="T504" s="116"/>
    </row>
    <row r="505" spans="1:20" s="114" customFormat="1" ht="15">
      <c r="A505" s="12" t="s">
        <v>208</v>
      </c>
      <c r="B505" s="65">
        <v>42093.29305555556</v>
      </c>
      <c r="C505" s="14">
        <v>219.41</v>
      </c>
      <c r="D505" s="15">
        <v>55</v>
      </c>
      <c r="E505" s="15">
        <f t="shared" si="100"/>
        <v>12078.55</v>
      </c>
      <c r="F505" s="13"/>
      <c r="G505" s="14">
        <v>220.01</v>
      </c>
      <c r="H505" s="15">
        <f t="shared" si="101"/>
        <v>12100.55</v>
      </c>
      <c r="I505" s="16">
        <f t="shared" si="102"/>
        <v>22</v>
      </c>
      <c r="J505" s="19">
        <f t="shared" si="105"/>
        <v>0.0018214106825736535</v>
      </c>
      <c r="K505" s="95" t="s">
        <v>211</v>
      </c>
      <c r="L505" s="119"/>
      <c r="M505" s="20">
        <f t="shared" si="104"/>
        <v>204.0513</v>
      </c>
      <c r="N505" s="118">
        <v>267.7</v>
      </c>
      <c r="O505" s="116"/>
      <c r="P505" s="116" t="s">
        <v>208</v>
      </c>
      <c r="Q505" s="117"/>
      <c r="R505" s="118"/>
      <c r="S505" s="117"/>
      <c r="T505" s="116"/>
    </row>
    <row r="506" spans="1:20" s="114" customFormat="1" ht="15">
      <c r="A506" s="12"/>
      <c r="B506" s="13"/>
      <c r="C506" s="14"/>
      <c r="D506" s="15"/>
      <c r="E506" s="15"/>
      <c r="F506" s="13"/>
      <c r="G506" s="14"/>
      <c r="H506" s="15"/>
      <c r="I506" s="16"/>
      <c r="J506" s="19"/>
      <c r="K506" s="95"/>
      <c r="L506" s="119"/>
      <c r="M506" s="32"/>
      <c r="N506" s="118"/>
      <c r="Q506" s="117"/>
      <c r="R506" s="117"/>
      <c r="S506" s="117"/>
      <c r="T506" s="116"/>
    </row>
    <row r="507" spans="1:20" s="114" customFormat="1" ht="15">
      <c r="A507" s="21" t="s">
        <v>14</v>
      </c>
      <c r="B507" s="22"/>
      <c r="C507" s="23"/>
      <c r="D507" s="24"/>
      <c r="E507" s="24">
        <f>SUM(E472:E506)</f>
        <v>361779.35000000003</v>
      </c>
      <c r="F507" s="22"/>
      <c r="G507" s="23"/>
      <c r="H507" s="24">
        <f>SUM(H472:H506)</f>
        <v>410470.8999999999</v>
      </c>
      <c r="I507" s="25">
        <f>SUM(I472:I506)</f>
        <v>48691.55</v>
      </c>
      <c r="J507" s="26">
        <f>I507/E507</f>
        <v>0.13458908033308148</v>
      </c>
      <c r="K507" s="27" t="s">
        <v>15</v>
      </c>
      <c r="L507" s="28">
        <f>100000+I509</f>
        <v>176920.61</v>
      </c>
      <c r="M507" s="81"/>
      <c r="N507" s="89"/>
      <c r="Q507" s="117"/>
      <c r="R507" s="117"/>
      <c r="S507" s="117"/>
      <c r="T507" s="116"/>
    </row>
    <row r="508" spans="1:20" s="114" customFormat="1" ht="15">
      <c r="A508" s="12" t="s">
        <v>67</v>
      </c>
      <c r="B508" s="22"/>
      <c r="C508" s="25">
        <f>I509-I467</f>
        <v>-2790.449999999997</v>
      </c>
      <c r="D508" s="26">
        <f>C508/H465</f>
        <v>-0.007229342667267194</v>
      </c>
      <c r="E508" s="24"/>
      <c r="F508" s="22" t="s">
        <v>16</v>
      </c>
      <c r="G508" s="117"/>
      <c r="H508" s="29" t="str">
        <f>IF(ABS(H507-E507-I507)&lt;1,"","ERROR")</f>
        <v/>
      </c>
      <c r="I508" s="30">
        <v>28229.06</v>
      </c>
      <c r="J508" s="26"/>
      <c r="K508" s="111" t="s">
        <v>17</v>
      </c>
      <c r="L508" s="28">
        <f>(2*(100000+I509))-E507</f>
        <v>-7938.130000000063</v>
      </c>
      <c r="M508" s="31"/>
      <c r="Q508" s="117"/>
      <c r="R508" s="117"/>
      <c r="S508" s="117"/>
      <c r="T508" s="116"/>
    </row>
    <row r="509" spans="1:20" s="114" customFormat="1" ht="15">
      <c r="A509" s="12" t="s">
        <v>54</v>
      </c>
      <c r="B509" s="22"/>
      <c r="C509" s="25">
        <f>L507-L465</f>
        <v>-2790.4500000000116</v>
      </c>
      <c r="D509" s="26">
        <f>C509/L465</f>
        <v>-0.015527424967611964</v>
      </c>
      <c r="E509" s="24"/>
      <c r="F509" s="22" t="s">
        <v>18</v>
      </c>
      <c r="G509" s="117"/>
      <c r="H509" s="29"/>
      <c r="I509" s="30">
        <f>I507+I508</f>
        <v>76920.61</v>
      </c>
      <c r="J509" s="26">
        <f>I509/100000</f>
        <v>0.7692061</v>
      </c>
      <c r="K509" s="111" t="s">
        <v>19</v>
      </c>
      <c r="L509" s="26">
        <f>E507/(2*(100000+I509))</f>
        <v>1.0224341584623748</v>
      </c>
      <c r="M509" s="31"/>
      <c r="Q509" s="117"/>
      <c r="R509" s="117"/>
      <c r="S509" s="117"/>
      <c r="T509" s="116"/>
    </row>
    <row r="510" spans="2:20" s="114" customFormat="1" ht="15">
      <c r="B510" s="22"/>
      <c r="C510" s="25"/>
      <c r="D510" s="26"/>
      <c r="E510" s="24"/>
      <c r="F510" s="22"/>
      <c r="G510" s="117"/>
      <c r="H510" s="29"/>
      <c r="I510" s="30"/>
      <c r="J510" s="26"/>
      <c r="K510" s="111"/>
      <c r="L510" s="26"/>
      <c r="M510" s="31"/>
      <c r="Q510" s="117"/>
      <c r="R510" s="117"/>
      <c r="S510" s="117"/>
      <c r="T510" s="116"/>
    </row>
    <row r="511" spans="1:20" s="114" customFormat="1" ht="15">
      <c r="A511" s="12"/>
      <c r="B511" s="22"/>
      <c r="C511" s="25"/>
      <c r="D511" s="26"/>
      <c r="E511" s="24"/>
      <c r="F511" s="22"/>
      <c r="G511" s="117"/>
      <c r="H511" s="29"/>
      <c r="I511" s="30"/>
      <c r="J511" s="26"/>
      <c r="K511" s="111"/>
      <c r="L511" s="26"/>
      <c r="M511" s="31"/>
      <c r="Q511" s="117"/>
      <c r="R511" s="117"/>
      <c r="S511" s="117"/>
      <c r="T511" s="116"/>
    </row>
    <row r="512" spans="1:20" s="114" customFormat="1" ht="30.75" customHeight="1">
      <c r="A512" s="136" t="s">
        <v>56</v>
      </c>
      <c r="B512" s="384" t="s">
        <v>222</v>
      </c>
      <c r="C512" s="384"/>
      <c r="D512" s="384"/>
      <c r="E512" s="384"/>
      <c r="F512" s="384"/>
      <c r="G512" s="384"/>
      <c r="H512" s="384"/>
      <c r="I512" s="384"/>
      <c r="J512" s="384"/>
      <c r="K512" s="384"/>
      <c r="L512" s="384"/>
      <c r="M512" s="384"/>
      <c r="N512" s="384"/>
      <c r="O512" s="92"/>
      <c r="P512" s="92"/>
      <c r="Q512" s="104"/>
      <c r="R512" s="104"/>
      <c r="S512" s="107"/>
      <c r="T512" s="109"/>
    </row>
    <row r="513" spans="1:22" s="114" customFormat="1" ht="15">
      <c r="A513" s="2" t="s">
        <v>0</v>
      </c>
      <c r="B513" s="3" t="s">
        <v>1</v>
      </c>
      <c r="C513" s="4" t="s">
        <v>2</v>
      </c>
      <c r="D513" s="5" t="s">
        <v>3</v>
      </c>
      <c r="E513" s="6" t="s">
        <v>4</v>
      </c>
      <c r="F513" s="3" t="s">
        <v>5</v>
      </c>
      <c r="G513" s="7" t="s">
        <v>2</v>
      </c>
      <c r="H513" s="6" t="s">
        <v>6</v>
      </c>
      <c r="I513" s="6" t="s">
        <v>7</v>
      </c>
      <c r="J513" s="8" t="s">
        <v>8</v>
      </c>
      <c r="K513" s="9" t="s">
        <v>9</v>
      </c>
      <c r="L513" s="10" t="s">
        <v>10</v>
      </c>
      <c r="M513" s="11" t="s">
        <v>11</v>
      </c>
      <c r="N513" s="103" t="s">
        <v>53</v>
      </c>
      <c r="O513" s="105" t="s">
        <v>110</v>
      </c>
      <c r="P513" s="106" t="s">
        <v>0</v>
      </c>
      <c r="Q513" s="117" t="s">
        <v>13</v>
      </c>
      <c r="R513" s="117" t="s">
        <v>70</v>
      </c>
      <c r="S513" s="111" t="s">
        <v>103</v>
      </c>
      <c r="T513" s="116" t="s">
        <v>107</v>
      </c>
      <c r="V513" s="9"/>
    </row>
    <row r="514" spans="1:22" s="114" customFormat="1" ht="15">
      <c r="A514" s="12" t="s">
        <v>80</v>
      </c>
      <c r="B514" s="65">
        <v>42011.30486111111</v>
      </c>
      <c r="C514" s="14">
        <v>58.02</v>
      </c>
      <c r="D514" s="15">
        <v>250</v>
      </c>
      <c r="E514" s="15">
        <f aca="true" t="shared" si="106" ref="E514:E549">C514*D514+11</f>
        <v>14516</v>
      </c>
      <c r="F514" s="13"/>
      <c r="G514" s="14">
        <v>89.66</v>
      </c>
      <c r="H514" s="15">
        <f aca="true" t="shared" si="107" ref="H514:H549">G514*D514</f>
        <v>22415</v>
      </c>
      <c r="I514" s="16">
        <f aca="true" t="shared" si="108" ref="I514:I549">H514-E514</f>
        <v>7899</v>
      </c>
      <c r="J514" s="19">
        <f aca="true" t="shared" si="109" ref="J514:J549">I514/E514</f>
        <v>0.544158170294847</v>
      </c>
      <c r="K514" s="95" t="s">
        <v>234</v>
      </c>
      <c r="L514" s="97">
        <v>77.21</v>
      </c>
      <c r="M514" s="41">
        <f aca="true" t="shared" si="110" ref="M514:M549">C514*0.93</f>
        <v>53.958600000000004</v>
      </c>
      <c r="N514" s="118">
        <v>76.6</v>
      </c>
      <c r="O514" s="121">
        <v>42090</v>
      </c>
      <c r="P514" s="116" t="s">
        <v>80</v>
      </c>
      <c r="Q514" s="117">
        <v>90.3</v>
      </c>
      <c r="R514" s="118">
        <f>Q514*0.855</f>
        <v>77.20649999999999</v>
      </c>
      <c r="S514" s="117">
        <f>1.11*C514</f>
        <v>64.40220000000001</v>
      </c>
      <c r="T514" s="116"/>
      <c r="V514" s="131"/>
    </row>
    <row r="515" spans="1:22" s="114" customFormat="1" ht="15">
      <c r="A515" s="12" t="s">
        <v>80</v>
      </c>
      <c r="B515" s="65">
        <v>42011.40694444445</v>
      </c>
      <c r="C515" s="14">
        <v>59.16</v>
      </c>
      <c r="D515" s="15">
        <v>150</v>
      </c>
      <c r="E515" s="15">
        <f t="shared" si="106"/>
        <v>8885</v>
      </c>
      <c r="F515" s="13"/>
      <c r="G515" s="14">
        <v>89.66</v>
      </c>
      <c r="H515" s="15">
        <f t="shared" si="107"/>
        <v>13449</v>
      </c>
      <c r="I515" s="16">
        <f t="shared" si="108"/>
        <v>4564</v>
      </c>
      <c r="J515" s="122">
        <f t="shared" si="109"/>
        <v>0.5136747326955543</v>
      </c>
      <c r="K515" s="95" t="s">
        <v>82</v>
      </c>
      <c r="L515" s="97">
        <v>77.21</v>
      </c>
      <c r="M515" s="41">
        <f t="shared" si="110"/>
        <v>55.0188</v>
      </c>
      <c r="N515" s="118">
        <v>77.93</v>
      </c>
      <c r="O515" s="116"/>
      <c r="P515" s="116" t="s">
        <v>80</v>
      </c>
      <c r="Q515" s="117"/>
      <c r="R515" s="118"/>
      <c r="S515" s="117"/>
      <c r="T515" s="116"/>
      <c r="V515" s="131"/>
    </row>
    <row r="516" spans="1:22" s="114" customFormat="1" ht="15">
      <c r="A516" s="12" t="s">
        <v>80</v>
      </c>
      <c r="B516" s="65">
        <v>42012.29305555556</v>
      </c>
      <c r="C516" s="14">
        <v>60.3</v>
      </c>
      <c r="D516" s="15">
        <v>100</v>
      </c>
      <c r="E516" s="15">
        <f t="shared" si="106"/>
        <v>6041</v>
      </c>
      <c r="F516" s="13"/>
      <c r="G516" s="14">
        <v>89.66</v>
      </c>
      <c r="H516" s="15">
        <f t="shared" si="107"/>
        <v>8966</v>
      </c>
      <c r="I516" s="16">
        <f t="shared" si="108"/>
        <v>2925</v>
      </c>
      <c r="J516" s="19">
        <f t="shared" si="109"/>
        <v>0.4841913590465155</v>
      </c>
      <c r="K516" s="95" t="s">
        <v>83</v>
      </c>
      <c r="L516" s="97">
        <v>77.21</v>
      </c>
      <c r="M516" s="41">
        <f t="shared" si="110"/>
        <v>56.079</v>
      </c>
      <c r="N516" s="118">
        <v>77.93</v>
      </c>
      <c r="O516" s="116"/>
      <c r="P516" s="116" t="s">
        <v>80</v>
      </c>
      <c r="Q516" s="117"/>
      <c r="R516" s="118"/>
      <c r="S516" s="117"/>
      <c r="T516" s="116"/>
      <c r="V516" s="131"/>
    </row>
    <row r="517" spans="1:22" s="114" customFormat="1" ht="15">
      <c r="A517" s="12" t="s">
        <v>80</v>
      </c>
      <c r="B517" s="65">
        <v>42047.271527777775</v>
      </c>
      <c r="C517" s="14">
        <v>64.65</v>
      </c>
      <c r="D517" s="15">
        <v>100</v>
      </c>
      <c r="E517" s="15">
        <f t="shared" si="106"/>
        <v>6476.000000000001</v>
      </c>
      <c r="F517" s="13"/>
      <c r="G517" s="14">
        <v>89.66</v>
      </c>
      <c r="H517" s="15">
        <f t="shared" si="107"/>
        <v>8966</v>
      </c>
      <c r="I517" s="16">
        <f t="shared" si="108"/>
        <v>2489.999999999999</v>
      </c>
      <c r="J517" s="19">
        <f t="shared" si="109"/>
        <v>0.38449660284125986</v>
      </c>
      <c r="K517" s="95" t="s">
        <v>132</v>
      </c>
      <c r="L517" s="97">
        <v>77.21</v>
      </c>
      <c r="M517" s="41">
        <f t="shared" si="110"/>
        <v>60.12450000000001</v>
      </c>
      <c r="N517" s="118">
        <v>77.93</v>
      </c>
      <c r="O517" s="116"/>
      <c r="P517" s="116" t="s">
        <v>80</v>
      </c>
      <c r="Q517" s="117"/>
      <c r="R517" s="118"/>
      <c r="S517" s="117"/>
      <c r="T517" s="116"/>
      <c r="V517" s="131"/>
    </row>
    <row r="518" spans="1:22" s="114" customFormat="1" ht="15">
      <c r="A518" s="12" t="s">
        <v>80</v>
      </c>
      <c r="B518" s="65">
        <v>42081.34097222222</v>
      </c>
      <c r="C518" s="14">
        <v>70</v>
      </c>
      <c r="D518" s="15">
        <v>120</v>
      </c>
      <c r="E518" s="15">
        <f t="shared" si="106"/>
        <v>8411</v>
      </c>
      <c r="F518" s="13"/>
      <c r="G518" s="14">
        <v>89.66</v>
      </c>
      <c r="H518" s="15">
        <f t="shared" si="107"/>
        <v>10759.199999999999</v>
      </c>
      <c r="I518" s="16">
        <f t="shared" si="108"/>
        <v>2348.199999999999</v>
      </c>
      <c r="J518" s="19">
        <f t="shared" si="109"/>
        <v>0.27918202354060145</v>
      </c>
      <c r="K518" s="95" t="s">
        <v>181</v>
      </c>
      <c r="L518" s="97">
        <v>77.21</v>
      </c>
      <c r="M518" s="41">
        <f t="shared" si="110"/>
        <v>65.10000000000001</v>
      </c>
      <c r="N518" s="118">
        <v>77.93</v>
      </c>
      <c r="O518" s="116"/>
      <c r="P518" s="116" t="s">
        <v>80</v>
      </c>
      <c r="Q518" s="117"/>
      <c r="R518" s="118"/>
      <c r="S518" s="117"/>
      <c r="T518" s="116"/>
      <c r="V518" s="131"/>
    </row>
    <row r="519" spans="1:22" s="114" customFormat="1" ht="15">
      <c r="A519" s="85" t="s">
        <v>80</v>
      </c>
      <c r="B519" s="65">
        <v>42117.55694444444</v>
      </c>
      <c r="C519" s="14">
        <v>77.75</v>
      </c>
      <c r="D519" s="15">
        <v>150</v>
      </c>
      <c r="E519" s="15">
        <f t="shared" si="106"/>
        <v>11673.5</v>
      </c>
      <c r="F519" s="13"/>
      <c r="G519" s="14">
        <v>89.66</v>
      </c>
      <c r="H519" s="15">
        <f t="shared" si="107"/>
        <v>13449</v>
      </c>
      <c r="I519" s="16">
        <f t="shared" si="108"/>
        <v>1775.5</v>
      </c>
      <c r="J519" s="19">
        <f t="shared" si="109"/>
        <v>0.15209662911723135</v>
      </c>
      <c r="K519" s="95" t="s">
        <v>233</v>
      </c>
      <c r="L519" s="97">
        <v>77.21</v>
      </c>
      <c r="M519" s="41">
        <f t="shared" si="110"/>
        <v>72.3075</v>
      </c>
      <c r="N519" s="118">
        <v>77.93</v>
      </c>
      <c r="O519" s="116"/>
      <c r="P519" s="116" t="s">
        <v>80</v>
      </c>
      <c r="Q519" s="117"/>
      <c r="R519" s="118"/>
      <c r="S519" s="117"/>
      <c r="T519" s="116"/>
      <c r="V519" s="131"/>
    </row>
    <row r="520" spans="1:20" s="114" customFormat="1" ht="15">
      <c r="A520" s="12" t="s">
        <v>61</v>
      </c>
      <c r="B520" s="65">
        <v>42040.27847222222</v>
      </c>
      <c r="C520" s="14">
        <v>132.85</v>
      </c>
      <c r="D520" s="15">
        <v>110</v>
      </c>
      <c r="E520" s="15">
        <f t="shared" si="106"/>
        <v>14624.5</v>
      </c>
      <c r="F520" s="65"/>
      <c r="G520" s="14">
        <v>157.08</v>
      </c>
      <c r="H520" s="15">
        <f t="shared" si="107"/>
        <v>17278.800000000003</v>
      </c>
      <c r="I520" s="16">
        <f t="shared" si="108"/>
        <v>2654.300000000003</v>
      </c>
      <c r="J520" s="19">
        <f t="shared" si="109"/>
        <v>0.18149680330951506</v>
      </c>
      <c r="K520" s="95" t="s">
        <v>134</v>
      </c>
      <c r="L520" s="119">
        <v>135.92</v>
      </c>
      <c r="M520" s="41">
        <f t="shared" si="110"/>
        <v>123.5505</v>
      </c>
      <c r="N520" s="118">
        <v>168.13</v>
      </c>
      <c r="O520" s="121">
        <v>42086</v>
      </c>
      <c r="P520" s="116" t="s">
        <v>61</v>
      </c>
      <c r="Q520" s="117">
        <v>158.97</v>
      </c>
      <c r="R520" s="118">
        <f>Q520*0.855</f>
        <v>135.91935</v>
      </c>
      <c r="S520" s="117">
        <f>1.11*C520</f>
        <v>147.4635</v>
      </c>
      <c r="T520" s="116"/>
    </row>
    <row r="521" spans="1:20" s="114" customFormat="1" ht="15">
      <c r="A521" s="12" t="s">
        <v>61</v>
      </c>
      <c r="B521" s="65">
        <v>42045.27291666667</v>
      </c>
      <c r="C521" s="14">
        <v>135.9</v>
      </c>
      <c r="D521" s="15">
        <v>65</v>
      </c>
      <c r="E521" s="15">
        <f t="shared" si="106"/>
        <v>8844.5</v>
      </c>
      <c r="F521" s="13"/>
      <c r="G521" s="14">
        <v>157.08</v>
      </c>
      <c r="H521" s="15">
        <f t="shared" si="107"/>
        <v>10210.2</v>
      </c>
      <c r="I521" s="16">
        <f t="shared" si="108"/>
        <v>1365.7000000000007</v>
      </c>
      <c r="J521" s="19">
        <f t="shared" si="109"/>
        <v>0.15441234665611406</v>
      </c>
      <c r="K521" s="95" t="s">
        <v>141</v>
      </c>
      <c r="L521" s="119">
        <v>135.92</v>
      </c>
      <c r="M521" s="41">
        <f t="shared" si="110"/>
        <v>126.38700000000001</v>
      </c>
      <c r="N521" s="118">
        <v>168.13</v>
      </c>
      <c r="O521" s="116"/>
      <c r="P521" s="116" t="s">
        <v>61</v>
      </c>
      <c r="Q521" s="117"/>
      <c r="R521" s="118"/>
      <c r="S521" s="117"/>
      <c r="T521" s="116"/>
    </row>
    <row r="522" spans="1:20" s="114" customFormat="1" ht="15">
      <c r="A522" s="12" t="s">
        <v>61</v>
      </c>
      <c r="B522" s="65">
        <v>42054.277083333334</v>
      </c>
      <c r="C522" s="14">
        <v>139.17</v>
      </c>
      <c r="D522" s="15">
        <v>40</v>
      </c>
      <c r="E522" s="15">
        <f t="shared" si="106"/>
        <v>5577.799999999999</v>
      </c>
      <c r="F522" s="13"/>
      <c r="G522" s="14">
        <v>157.08</v>
      </c>
      <c r="H522" s="15">
        <f t="shared" si="107"/>
        <v>6283.200000000001</v>
      </c>
      <c r="I522" s="16">
        <f t="shared" si="108"/>
        <v>705.4000000000015</v>
      </c>
      <c r="J522" s="19">
        <f t="shared" si="109"/>
        <v>0.12646563161102972</v>
      </c>
      <c r="K522" s="95" t="s">
        <v>140</v>
      </c>
      <c r="L522" s="119">
        <v>135.92</v>
      </c>
      <c r="M522" s="41">
        <f t="shared" si="110"/>
        <v>129.4281</v>
      </c>
      <c r="N522" s="118">
        <v>168.13</v>
      </c>
      <c r="O522" s="116"/>
      <c r="P522" s="116" t="s">
        <v>61</v>
      </c>
      <c r="Q522" s="117"/>
      <c r="R522" s="118"/>
      <c r="S522" s="117"/>
      <c r="T522" s="116"/>
    </row>
    <row r="523" spans="1:20" s="114" customFormat="1" ht="15">
      <c r="A523" s="12" t="s">
        <v>61</v>
      </c>
      <c r="B523" s="65">
        <v>42075.56458333333</v>
      </c>
      <c r="C523" s="14">
        <v>154</v>
      </c>
      <c r="D523" s="15">
        <v>40</v>
      </c>
      <c r="E523" s="15">
        <f t="shared" si="106"/>
        <v>6171</v>
      </c>
      <c r="F523" s="13"/>
      <c r="G523" s="14">
        <v>157.08</v>
      </c>
      <c r="H523" s="15">
        <f t="shared" si="107"/>
        <v>6283.200000000001</v>
      </c>
      <c r="I523" s="16">
        <f t="shared" si="108"/>
        <v>112.20000000000073</v>
      </c>
      <c r="J523" s="19">
        <f t="shared" si="109"/>
        <v>0.0181818181818183</v>
      </c>
      <c r="K523" s="95" t="s">
        <v>160</v>
      </c>
      <c r="L523" s="119"/>
      <c r="M523" s="20">
        <f t="shared" si="110"/>
        <v>143.22</v>
      </c>
      <c r="N523" s="118">
        <v>168.13</v>
      </c>
      <c r="O523" s="116"/>
      <c r="P523" s="116" t="s">
        <v>61</v>
      </c>
      <c r="Q523" s="117"/>
      <c r="R523" s="118"/>
      <c r="S523" s="117"/>
      <c r="T523" s="116"/>
    </row>
    <row r="524" spans="1:20" s="114" customFormat="1" ht="15">
      <c r="A524" s="12" t="s">
        <v>61</v>
      </c>
      <c r="B524" s="65">
        <v>42109.27222222222</v>
      </c>
      <c r="C524" s="14">
        <v>156.13</v>
      </c>
      <c r="D524" s="15">
        <v>50</v>
      </c>
      <c r="E524" s="15">
        <f t="shared" si="106"/>
        <v>7817.5</v>
      </c>
      <c r="F524" s="13"/>
      <c r="G524" s="14">
        <v>157.08</v>
      </c>
      <c r="H524" s="15">
        <f t="shared" si="107"/>
        <v>7854.000000000001</v>
      </c>
      <c r="I524" s="16">
        <f t="shared" si="108"/>
        <v>36.50000000000091</v>
      </c>
      <c r="J524" s="19">
        <f t="shared" si="109"/>
        <v>0.004669011832427363</v>
      </c>
      <c r="K524" s="95" t="s">
        <v>221</v>
      </c>
      <c r="L524" s="119"/>
      <c r="M524" s="20">
        <f t="shared" si="110"/>
        <v>145.2009</v>
      </c>
      <c r="N524" s="118">
        <v>168.13</v>
      </c>
      <c r="O524" s="116"/>
      <c r="P524" s="116" t="s">
        <v>61</v>
      </c>
      <c r="Q524" s="117"/>
      <c r="R524" s="118"/>
      <c r="S524" s="117"/>
      <c r="T524" s="116"/>
    </row>
    <row r="525" spans="1:20" s="114" customFormat="1" ht="15">
      <c r="A525" s="12" t="s">
        <v>52</v>
      </c>
      <c r="B525" s="65">
        <v>42046.27361111111</v>
      </c>
      <c r="C525" s="14">
        <v>129.75</v>
      </c>
      <c r="D525" s="15">
        <v>80</v>
      </c>
      <c r="E525" s="15">
        <f t="shared" si="106"/>
        <v>10391</v>
      </c>
      <c r="F525" s="65"/>
      <c r="G525" s="14">
        <v>153.84</v>
      </c>
      <c r="H525" s="15">
        <f t="shared" si="107"/>
        <v>12307.2</v>
      </c>
      <c r="I525" s="16">
        <f t="shared" si="108"/>
        <v>1916.2000000000007</v>
      </c>
      <c r="J525" s="19">
        <f t="shared" si="109"/>
        <v>0.18440958521797718</v>
      </c>
      <c r="K525" s="95" t="s">
        <v>135</v>
      </c>
      <c r="L525" s="119">
        <v>133.71</v>
      </c>
      <c r="M525" s="41">
        <f t="shared" si="110"/>
        <v>120.6675</v>
      </c>
      <c r="N525" s="118">
        <v>161.78</v>
      </c>
      <c r="O525" s="121">
        <f>WORKDAY(B525,40,'Weekly Summary'!P$2:P$10)</f>
        <v>42104</v>
      </c>
      <c r="P525" s="116" t="s">
        <v>52</v>
      </c>
      <c r="Q525" s="117">
        <v>156.39</v>
      </c>
      <c r="R525" s="118">
        <f>Q525*0.855</f>
        <v>133.71345</v>
      </c>
      <c r="S525" s="117">
        <f>1.11*C525</f>
        <v>144.0225</v>
      </c>
      <c r="T525" s="116"/>
    </row>
    <row r="526" spans="1:20" s="114" customFormat="1" ht="15">
      <c r="A526" s="12" t="s">
        <v>52</v>
      </c>
      <c r="B526" s="65">
        <v>42047.275</v>
      </c>
      <c r="C526" s="14">
        <v>133.95</v>
      </c>
      <c r="D526" s="15">
        <v>45</v>
      </c>
      <c r="E526" s="15">
        <f t="shared" si="106"/>
        <v>6038.749999999999</v>
      </c>
      <c r="F526" s="13"/>
      <c r="G526" s="14">
        <v>153.84</v>
      </c>
      <c r="H526" s="15">
        <f t="shared" si="107"/>
        <v>6922.8</v>
      </c>
      <c r="I526" s="16">
        <f t="shared" si="108"/>
        <v>884.0500000000011</v>
      </c>
      <c r="J526" s="19">
        <f t="shared" si="109"/>
        <v>0.1463961912647487</v>
      </c>
      <c r="K526" s="95" t="s">
        <v>136</v>
      </c>
      <c r="L526" s="119">
        <v>133.71</v>
      </c>
      <c r="M526" s="41">
        <f t="shared" si="110"/>
        <v>124.5735</v>
      </c>
      <c r="N526" s="118">
        <v>161.78</v>
      </c>
      <c r="O526" s="116"/>
      <c r="P526" s="116" t="s">
        <v>52</v>
      </c>
      <c r="Q526" s="117"/>
      <c r="R526" s="118"/>
      <c r="S526" s="117"/>
      <c r="T526" s="116"/>
    </row>
    <row r="527" spans="1:20" s="114" customFormat="1" ht="15">
      <c r="A527" s="12" t="s">
        <v>52</v>
      </c>
      <c r="B527" s="65">
        <v>42048.450694444444</v>
      </c>
      <c r="C527" s="14">
        <v>135.8</v>
      </c>
      <c r="D527" s="15">
        <v>30</v>
      </c>
      <c r="E527" s="15">
        <f t="shared" si="106"/>
        <v>4085.0000000000005</v>
      </c>
      <c r="F527" s="13"/>
      <c r="G527" s="14">
        <v>153.84</v>
      </c>
      <c r="H527" s="15">
        <f t="shared" si="107"/>
        <v>4615.2</v>
      </c>
      <c r="I527" s="16">
        <f t="shared" si="108"/>
        <v>530.1999999999994</v>
      </c>
      <c r="J527" s="19">
        <f t="shared" si="109"/>
        <v>0.12979192166462653</v>
      </c>
      <c r="K527" s="95" t="s">
        <v>143</v>
      </c>
      <c r="L527" s="119">
        <v>133.71</v>
      </c>
      <c r="M527" s="41">
        <f t="shared" si="110"/>
        <v>126.29400000000001</v>
      </c>
      <c r="N527" s="118">
        <v>161.78</v>
      </c>
      <c r="O527" s="116"/>
      <c r="P527" s="116" t="s">
        <v>52</v>
      </c>
      <c r="Q527" s="117"/>
      <c r="R527" s="118"/>
      <c r="S527" s="117"/>
      <c r="T527" s="116"/>
    </row>
    <row r="528" spans="1:20" s="114" customFormat="1" ht="15">
      <c r="A528" s="12" t="s">
        <v>52</v>
      </c>
      <c r="B528" s="65">
        <v>42074.29027777778</v>
      </c>
      <c r="C528" s="14">
        <v>140.55</v>
      </c>
      <c r="D528" s="15">
        <v>30</v>
      </c>
      <c r="E528" s="15">
        <f t="shared" si="106"/>
        <v>4227.5</v>
      </c>
      <c r="F528" s="13"/>
      <c r="G528" s="14">
        <v>153.84</v>
      </c>
      <c r="H528" s="15">
        <f t="shared" si="107"/>
        <v>4615.2</v>
      </c>
      <c r="I528" s="16">
        <f t="shared" si="108"/>
        <v>387.6999999999998</v>
      </c>
      <c r="J528" s="19">
        <f t="shared" si="109"/>
        <v>0.09170904790065046</v>
      </c>
      <c r="K528" s="95" t="s">
        <v>182</v>
      </c>
      <c r="L528" s="119">
        <v>133.71</v>
      </c>
      <c r="M528" s="41">
        <f t="shared" si="110"/>
        <v>130.71150000000003</v>
      </c>
      <c r="N528" s="118">
        <v>161.78</v>
      </c>
      <c r="O528" s="116"/>
      <c r="P528" s="116" t="s">
        <v>52</v>
      </c>
      <c r="Q528" s="117"/>
      <c r="R528" s="118"/>
      <c r="S528" s="117"/>
      <c r="T528" s="116"/>
    </row>
    <row r="529" spans="1:20" s="114" customFormat="1" ht="15">
      <c r="A529" s="12" t="s">
        <v>52</v>
      </c>
      <c r="B529" s="65">
        <v>42093.27638888889</v>
      </c>
      <c r="C529" s="14">
        <v>149.29</v>
      </c>
      <c r="D529" s="15">
        <v>40</v>
      </c>
      <c r="E529" s="15">
        <f t="shared" si="106"/>
        <v>5982.599999999999</v>
      </c>
      <c r="F529" s="13"/>
      <c r="G529" s="14">
        <v>153.84</v>
      </c>
      <c r="H529" s="15">
        <f t="shared" si="107"/>
        <v>6153.6</v>
      </c>
      <c r="I529" s="16">
        <f t="shared" si="108"/>
        <v>171.0000000000009</v>
      </c>
      <c r="J529" s="19">
        <f t="shared" si="109"/>
        <v>0.02858289038210827</v>
      </c>
      <c r="K529" s="95" t="s">
        <v>213</v>
      </c>
      <c r="L529" s="119"/>
      <c r="M529" s="20">
        <f t="shared" si="110"/>
        <v>138.8397</v>
      </c>
      <c r="N529" s="118">
        <v>161.78</v>
      </c>
      <c r="O529" s="116"/>
      <c r="P529" s="116" t="s">
        <v>52</v>
      </c>
      <c r="Q529" s="117"/>
      <c r="R529" s="118"/>
      <c r="S529" s="117"/>
      <c r="T529" s="116"/>
    </row>
    <row r="530" spans="1:20" s="114" customFormat="1" ht="15">
      <c r="A530" s="12" t="s">
        <v>39</v>
      </c>
      <c r="B530" s="65">
        <v>42062.53680555556</v>
      </c>
      <c r="C530" s="14">
        <v>57.65</v>
      </c>
      <c r="D530" s="15">
        <v>100</v>
      </c>
      <c r="E530" s="15">
        <f t="shared" si="106"/>
        <v>5776</v>
      </c>
      <c r="F530" s="13"/>
      <c r="G530" s="14">
        <v>72.13</v>
      </c>
      <c r="H530" s="15">
        <f t="shared" si="107"/>
        <v>7213</v>
      </c>
      <c r="I530" s="16">
        <f t="shared" si="108"/>
        <v>1437</v>
      </c>
      <c r="J530" s="19">
        <f t="shared" si="109"/>
        <v>0.24878808864265928</v>
      </c>
      <c r="K530" s="95" t="s">
        <v>149</v>
      </c>
      <c r="L530" s="119">
        <v>66.17</v>
      </c>
      <c r="M530" s="41">
        <f t="shared" si="110"/>
        <v>53.6145</v>
      </c>
      <c r="N530" s="118">
        <v>79</v>
      </c>
      <c r="O530" s="121">
        <v>42124</v>
      </c>
      <c r="P530" s="116" t="s">
        <v>39</v>
      </c>
      <c r="Q530" s="117">
        <v>77.39</v>
      </c>
      <c r="R530" s="118">
        <f>Q530*0.855</f>
        <v>66.16844999999999</v>
      </c>
      <c r="S530" s="117">
        <f>1.11*C530</f>
        <v>63.9915</v>
      </c>
      <c r="T530" s="116"/>
    </row>
    <row r="531" spans="1:20" s="114" customFormat="1" ht="15">
      <c r="A531" s="12" t="s">
        <v>39</v>
      </c>
      <c r="B531" s="65">
        <v>42073.322916666664</v>
      </c>
      <c r="C531" s="14">
        <v>65.15</v>
      </c>
      <c r="D531" s="15">
        <v>350</v>
      </c>
      <c r="E531" s="15">
        <f t="shared" si="106"/>
        <v>22813.500000000004</v>
      </c>
      <c r="F531" s="13"/>
      <c r="G531" s="14">
        <v>72.13</v>
      </c>
      <c r="H531" s="15">
        <f t="shared" si="107"/>
        <v>25245.5</v>
      </c>
      <c r="I531" s="16">
        <f t="shared" si="108"/>
        <v>2431.9999999999964</v>
      </c>
      <c r="J531" s="19">
        <f t="shared" si="109"/>
        <v>0.1066035461459222</v>
      </c>
      <c r="K531" s="95" t="s">
        <v>164</v>
      </c>
      <c r="L531" s="119">
        <v>66.17</v>
      </c>
      <c r="M531" s="41">
        <f t="shared" si="110"/>
        <v>60.58950000000001</v>
      </c>
      <c r="N531" s="118">
        <v>79</v>
      </c>
      <c r="O531" s="116"/>
      <c r="P531" s="116" t="s">
        <v>39</v>
      </c>
      <c r="Q531" s="117"/>
      <c r="R531" s="118"/>
      <c r="S531" s="117"/>
      <c r="T531" s="116"/>
    </row>
    <row r="532" spans="1:20" s="114" customFormat="1" ht="15">
      <c r="A532" s="12" t="s">
        <v>39</v>
      </c>
      <c r="B532" s="65">
        <v>42073.35555555556</v>
      </c>
      <c r="C532" s="14">
        <v>66.15</v>
      </c>
      <c r="D532" s="15">
        <v>110</v>
      </c>
      <c r="E532" s="15">
        <f t="shared" si="106"/>
        <v>7287.500000000001</v>
      </c>
      <c r="F532" s="13"/>
      <c r="G532" s="14">
        <v>72.13</v>
      </c>
      <c r="H532" s="15">
        <f t="shared" si="107"/>
        <v>7934.299999999999</v>
      </c>
      <c r="I532" s="16">
        <f t="shared" si="108"/>
        <v>646.7999999999984</v>
      </c>
      <c r="J532" s="19">
        <f t="shared" si="109"/>
        <v>0.08875471698113184</v>
      </c>
      <c r="K532" s="95" t="s">
        <v>165</v>
      </c>
      <c r="L532" s="119">
        <v>66.17</v>
      </c>
      <c r="M532" s="41">
        <f t="shared" si="110"/>
        <v>61.51950000000001</v>
      </c>
      <c r="N532" s="118">
        <v>79</v>
      </c>
      <c r="O532" s="116"/>
      <c r="P532" s="116" t="s">
        <v>39</v>
      </c>
      <c r="Q532" s="117"/>
      <c r="R532" s="118"/>
      <c r="S532" s="117"/>
      <c r="T532" s="116"/>
    </row>
    <row r="533" spans="1:20" s="114" customFormat="1" ht="15">
      <c r="A533" s="12" t="s">
        <v>39</v>
      </c>
      <c r="B533" s="65">
        <v>42093.34375</v>
      </c>
      <c r="C533" s="14">
        <v>73.37</v>
      </c>
      <c r="D533" s="15">
        <v>110</v>
      </c>
      <c r="E533" s="15">
        <f t="shared" si="106"/>
        <v>8081.700000000001</v>
      </c>
      <c r="F533" s="13"/>
      <c r="G533" s="14">
        <v>72.13</v>
      </c>
      <c r="H533" s="15">
        <f t="shared" si="107"/>
        <v>7934.299999999999</v>
      </c>
      <c r="I533" s="16">
        <f t="shared" si="108"/>
        <v>-147.40000000000146</v>
      </c>
      <c r="J533" s="19">
        <f t="shared" si="109"/>
        <v>-0.018238736899414906</v>
      </c>
      <c r="K533" s="95" t="s">
        <v>214</v>
      </c>
      <c r="L533" s="119"/>
      <c r="M533" s="20">
        <f t="shared" si="110"/>
        <v>68.23410000000001</v>
      </c>
      <c r="N533" s="118">
        <v>79</v>
      </c>
      <c r="O533" s="116"/>
      <c r="P533" s="116" t="s">
        <v>39</v>
      </c>
      <c r="Q533" s="117"/>
      <c r="R533" s="118"/>
      <c r="S533" s="117"/>
      <c r="T533" s="116"/>
    </row>
    <row r="534" spans="1:20" s="114" customFormat="1" ht="15">
      <c r="A534" s="12" t="s">
        <v>169</v>
      </c>
      <c r="B534" s="65">
        <v>42076.538194444445</v>
      </c>
      <c r="C534" s="14">
        <v>56.64</v>
      </c>
      <c r="D534" s="15">
        <v>320</v>
      </c>
      <c r="E534" s="15">
        <f t="shared" si="106"/>
        <v>18135.8</v>
      </c>
      <c r="F534" s="13"/>
      <c r="G534" s="14">
        <v>60.27</v>
      </c>
      <c r="H534" s="15">
        <f t="shared" si="107"/>
        <v>19286.4</v>
      </c>
      <c r="I534" s="16">
        <f t="shared" si="108"/>
        <v>1150.6000000000022</v>
      </c>
      <c r="J534" s="19">
        <f t="shared" si="109"/>
        <v>0.0634435756900717</v>
      </c>
      <c r="K534" s="95" t="s">
        <v>170</v>
      </c>
      <c r="L534" s="119"/>
      <c r="M534" s="20">
        <f t="shared" si="110"/>
        <v>52.675200000000004</v>
      </c>
      <c r="N534" s="118">
        <v>71.25</v>
      </c>
      <c r="O534" s="121">
        <v>42132</v>
      </c>
      <c r="P534" s="116" t="s">
        <v>169</v>
      </c>
      <c r="Q534" s="117">
        <v>60.7</v>
      </c>
      <c r="R534" s="118">
        <f>Q534*0.855</f>
        <v>51.8985</v>
      </c>
      <c r="S534" s="117">
        <f>1.11*C534</f>
        <v>62.870400000000004</v>
      </c>
      <c r="T534" s="116"/>
    </row>
    <row r="535" spans="1:20" s="114" customFormat="1" ht="15">
      <c r="A535" s="12" t="s">
        <v>169</v>
      </c>
      <c r="B535" s="65">
        <v>42082.302777777775</v>
      </c>
      <c r="C535" s="14">
        <v>57.9</v>
      </c>
      <c r="D535" s="15">
        <v>190</v>
      </c>
      <c r="E535" s="15">
        <f t="shared" si="106"/>
        <v>11012</v>
      </c>
      <c r="F535" s="13"/>
      <c r="G535" s="14">
        <v>60.27</v>
      </c>
      <c r="H535" s="15">
        <f t="shared" si="107"/>
        <v>11451.300000000001</v>
      </c>
      <c r="I535" s="16">
        <f t="shared" si="108"/>
        <v>439.3000000000011</v>
      </c>
      <c r="J535" s="19">
        <f t="shared" si="109"/>
        <v>0.039892844169996465</v>
      </c>
      <c r="K535" s="95" t="s">
        <v>217</v>
      </c>
      <c r="L535" s="119"/>
      <c r="M535" s="20">
        <f t="shared" si="110"/>
        <v>53.847</v>
      </c>
      <c r="N535" s="118">
        <v>71.25</v>
      </c>
      <c r="O535" s="116"/>
      <c r="P535" s="116" t="s">
        <v>169</v>
      </c>
      <c r="Q535" s="117"/>
      <c r="R535" s="118"/>
      <c r="S535" s="117"/>
      <c r="T535" s="116"/>
    </row>
    <row r="536" spans="1:20" s="114" customFormat="1" ht="15">
      <c r="A536" s="12" t="s">
        <v>169</v>
      </c>
      <c r="B536" s="65">
        <v>42103.433333333334</v>
      </c>
      <c r="C536" s="14">
        <v>59.27</v>
      </c>
      <c r="D536" s="15">
        <v>125</v>
      </c>
      <c r="E536" s="15">
        <f t="shared" si="106"/>
        <v>7419.75</v>
      </c>
      <c r="F536" s="13"/>
      <c r="G536" s="14">
        <v>60.27</v>
      </c>
      <c r="H536" s="15">
        <f t="shared" si="107"/>
        <v>7533.75</v>
      </c>
      <c r="I536" s="16">
        <f t="shared" si="108"/>
        <v>114</v>
      </c>
      <c r="J536" s="19">
        <f t="shared" si="109"/>
        <v>0.01536439907004953</v>
      </c>
      <c r="K536" s="95" t="s">
        <v>216</v>
      </c>
      <c r="L536" s="119"/>
      <c r="M536" s="20">
        <f t="shared" si="110"/>
        <v>55.121100000000006</v>
      </c>
      <c r="N536" s="118">
        <v>71.25</v>
      </c>
      <c r="O536" s="116"/>
      <c r="P536" s="116" t="s">
        <v>169</v>
      </c>
      <c r="Q536" s="117"/>
      <c r="R536" s="118"/>
      <c r="S536" s="117"/>
      <c r="T536" s="116"/>
    </row>
    <row r="537" spans="1:20" s="114" customFormat="1" ht="15">
      <c r="A537" s="12" t="s">
        <v>45</v>
      </c>
      <c r="B537" s="65">
        <v>42080.325694444444</v>
      </c>
      <c r="C537" s="14">
        <v>20.12</v>
      </c>
      <c r="D537" s="15">
        <v>1000</v>
      </c>
      <c r="E537" s="15">
        <f t="shared" si="106"/>
        <v>20131</v>
      </c>
      <c r="F537" s="13"/>
      <c r="G537" s="14">
        <v>33.79</v>
      </c>
      <c r="H537" s="15">
        <f t="shared" si="107"/>
        <v>33790</v>
      </c>
      <c r="I537" s="16">
        <f t="shared" si="108"/>
        <v>13659</v>
      </c>
      <c r="J537" s="19">
        <f t="shared" si="109"/>
        <v>0.6785057870945308</v>
      </c>
      <c r="K537" s="95" t="s">
        <v>186</v>
      </c>
      <c r="L537" s="119">
        <v>29.23</v>
      </c>
      <c r="M537" s="41">
        <f t="shared" si="110"/>
        <v>18.7116</v>
      </c>
      <c r="N537" s="118">
        <v>32</v>
      </c>
      <c r="O537" s="121">
        <v>42159</v>
      </c>
      <c r="P537" s="116" t="s">
        <v>45</v>
      </c>
      <c r="Q537" s="117">
        <v>34.19</v>
      </c>
      <c r="R537" s="118">
        <f>Q537*0.855</f>
        <v>29.232449999999996</v>
      </c>
      <c r="S537" s="117">
        <f>1.11*C537</f>
        <v>22.3332</v>
      </c>
      <c r="T537" s="116"/>
    </row>
    <row r="538" spans="1:20" s="114" customFormat="1" ht="15">
      <c r="A538" s="12" t="s">
        <v>45</v>
      </c>
      <c r="B538" s="65">
        <v>42081.30972222222</v>
      </c>
      <c r="C538" s="14">
        <v>21.46</v>
      </c>
      <c r="D538" s="15">
        <v>500</v>
      </c>
      <c r="E538" s="15">
        <f t="shared" si="106"/>
        <v>10741</v>
      </c>
      <c r="F538" s="13"/>
      <c r="G538" s="14">
        <v>33.79</v>
      </c>
      <c r="H538" s="15">
        <f t="shared" si="107"/>
        <v>16895</v>
      </c>
      <c r="I538" s="16">
        <f t="shared" si="108"/>
        <v>6154</v>
      </c>
      <c r="J538" s="19">
        <f t="shared" si="109"/>
        <v>0.5729447909878037</v>
      </c>
      <c r="K538" s="95" t="s">
        <v>198</v>
      </c>
      <c r="L538" s="119">
        <v>29.23</v>
      </c>
      <c r="M538" s="41">
        <f t="shared" si="110"/>
        <v>19.957800000000002</v>
      </c>
      <c r="N538" s="118">
        <v>32</v>
      </c>
      <c r="O538" s="116"/>
      <c r="P538" s="116" t="s">
        <v>45</v>
      </c>
      <c r="Q538" s="117"/>
      <c r="R538" s="118"/>
      <c r="S538" s="117"/>
      <c r="T538" s="116"/>
    </row>
    <row r="539" spans="1:20" s="114" customFormat="1" ht="15">
      <c r="A539" s="12" t="s">
        <v>45</v>
      </c>
      <c r="B539" s="65">
        <v>42082.32986111111</v>
      </c>
      <c r="C539" s="14">
        <v>23.1</v>
      </c>
      <c r="D539" s="15">
        <v>780</v>
      </c>
      <c r="E539" s="15">
        <f t="shared" si="106"/>
        <v>18029</v>
      </c>
      <c r="F539" s="13"/>
      <c r="G539" s="14">
        <v>33.79</v>
      </c>
      <c r="H539" s="15">
        <f t="shared" si="107"/>
        <v>26356.2</v>
      </c>
      <c r="I539" s="16">
        <f t="shared" si="108"/>
        <v>8327.2</v>
      </c>
      <c r="J539" s="19">
        <f t="shared" si="109"/>
        <v>0.4618780853070054</v>
      </c>
      <c r="K539" s="95" t="s">
        <v>188</v>
      </c>
      <c r="L539" s="119">
        <v>29.23</v>
      </c>
      <c r="M539" s="41">
        <f t="shared" si="110"/>
        <v>21.483000000000004</v>
      </c>
      <c r="N539" s="118">
        <v>32</v>
      </c>
      <c r="O539" s="116"/>
      <c r="P539" s="116" t="s">
        <v>45</v>
      </c>
      <c r="Q539" s="117"/>
      <c r="R539" s="118"/>
      <c r="S539" s="117"/>
      <c r="T539" s="116"/>
    </row>
    <row r="540" spans="1:20" s="114" customFormat="1" ht="15">
      <c r="A540" s="12" t="s">
        <v>45</v>
      </c>
      <c r="B540" s="65">
        <v>42090.27291666667</v>
      </c>
      <c r="C540" s="14">
        <v>23.65</v>
      </c>
      <c r="D540" s="15">
        <v>510</v>
      </c>
      <c r="E540" s="15">
        <f t="shared" si="106"/>
        <v>12072.5</v>
      </c>
      <c r="F540" s="13"/>
      <c r="G540" s="14">
        <v>33.79</v>
      </c>
      <c r="H540" s="15">
        <f t="shared" si="107"/>
        <v>17232.899999999998</v>
      </c>
      <c r="I540" s="16">
        <f t="shared" si="108"/>
        <v>5160.399999999998</v>
      </c>
      <c r="J540" s="19">
        <f t="shared" si="109"/>
        <v>0.4274508179747358</v>
      </c>
      <c r="K540" s="95" t="s">
        <v>199</v>
      </c>
      <c r="L540" s="119">
        <v>29.23</v>
      </c>
      <c r="M540" s="41">
        <f t="shared" si="110"/>
        <v>21.9945</v>
      </c>
      <c r="N540" s="118">
        <v>32</v>
      </c>
      <c r="O540" s="116"/>
      <c r="P540" s="116" t="s">
        <v>45</v>
      </c>
      <c r="Q540" s="117"/>
      <c r="R540" s="118"/>
      <c r="S540" s="117"/>
      <c r="T540" s="116"/>
    </row>
    <row r="541" spans="1:20" s="114" customFormat="1" ht="15">
      <c r="A541" s="12" t="s">
        <v>45</v>
      </c>
      <c r="B541" s="65">
        <v>42102.27916666667</v>
      </c>
      <c r="C541" s="14">
        <v>26.2</v>
      </c>
      <c r="D541" s="15">
        <v>560</v>
      </c>
      <c r="E541" s="15">
        <f t="shared" si="106"/>
        <v>14683</v>
      </c>
      <c r="F541" s="13"/>
      <c r="G541" s="14">
        <v>33.79</v>
      </c>
      <c r="H541" s="15">
        <f t="shared" si="107"/>
        <v>18922.399999999998</v>
      </c>
      <c r="I541" s="16">
        <f t="shared" si="108"/>
        <v>4239.399999999998</v>
      </c>
      <c r="J541" s="19">
        <f t="shared" si="109"/>
        <v>0.2887284614860722</v>
      </c>
      <c r="K541" s="95" t="s">
        <v>218</v>
      </c>
      <c r="L541" s="119">
        <v>29.23</v>
      </c>
      <c r="M541" s="41">
        <f t="shared" si="110"/>
        <v>24.366</v>
      </c>
      <c r="N541" s="118">
        <v>32</v>
      </c>
      <c r="O541" s="116"/>
      <c r="P541" s="116" t="s">
        <v>45</v>
      </c>
      <c r="Q541" s="117"/>
      <c r="R541" s="118"/>
      <c r="S541" s="117"/>
      <c r="T541" s="116"/>
    </row>
    <row r="542" spans="1:20" s="114" customFormat="1" ht="15">
      <c r="A542" s="12" t="s">
        <v>45</v>
      </c>
      <c r="B542" s="65">
        <v>42109.40833333333</v>
      </c>
      <c r="C542" s="14">
        <v>29.02</v>
      </c>
      <c r="D542" s="15">
        <v>670</v>
      </c>
      <c r="E542" s="15">
        <f t="shared" si="106"/>
        <v>19454.4</v>
      </c>
      <c r="F542" s="13"/>
      <c r="G542" s="14">
        <v>33.79</v>
      </c>
      <c r="H542" s="15">
        <f t="shared" si="107"/>
        <v>22639.3</v>
      </c>
      <c r="I542" s="16">
        <f t="shared" si="108"/>
        <v>3184.899999999998</v>
      </c>
      <c r="J542" s="19">
        <f t="shared" si="109"/>
        <v>0.163711037091866</v>
      </c>
      <c r="K542" s="95" t="s">
        <v>245</v>
      </c>
      <c r="L542" s="119">
        <v>29.23</v>
      </c>
      <c r="M542" s="41">
        <f t="shared" si="110"/>
        <v>26.9886</v>
      </c>
      <c r="N542" s="118">
        <v>32</v>
      </c>
      <c r="O542" s="116"/>
      <c r="P542" s="116" t="s">
        <v>45</v>
      </c>
      <c r="Q542" s="117"/>
      <c r="R542" s="118"/>
      <c r="S542" s="117"/>
      <c r="T542" s="116"/>
    </row>
    <row r="543" spans="1:20" s="114" customFormat="1" ht="15">
      <c r="A543" s="85" t="s">
        <v>45</v>
      </c>
      <c r="B543" s="65">
        <v>42115.27291666667</v>
      </c>
      <c r="C543" s="14">
        <v>31.27</v>
      </c>
      <c r="D543" s="15">
        <v>670</v>
      </c>
      <c r="E543" s="15">
        <f t="shared" si="106"/>
        <v>20961.9</v>
      </c>
      <c r="F543" s="13"/>
      <c r="G543" s="14">
        <v>33.79</v>
      </c>
      <c r="H543" s="15">
        <f t="shared" si="107"/>
        <v>22639.3</v>
      </c>
      <c r="I543" s="16">
        <f t="shared" si="108"/>
        <v>1677.3999999999978</v>
      </c>
      <c r="J543" s="19">
        <f t="shared" si="109"/>
        <v>0.08002137210844426</v>
      </c>
      <c r="K543" s="95" t="s">
        <v>235</v>
      </c>
      <c r="L543" s="119">
        <v>29.23</v>
      </c>
      <c r="M543" s="41">
        <f t="shared" si="110"/>
        <v>29.081100000000003</v>
      </c>
      <c r="N543" s="118">
        <v>32</v>
      </c>
      <c r="O543" s="116"/>
      <c r="P543" s="116" t="s">
        <v>45</v>
      </c>
      <c r="Q543" s="117"/>
      <c r="R543" s="118"/>
      <c r="S543" s="117"/>
      <c r="T543" s="116"/>
    </row>
    <row r="544" spans="1:20" s="114" customFormat="1" ht="15">
      <c r="A544" s="12" t="s">
        <v>208</v>
      </c>
      <c r="B544" s="65">
        <v>42090.308333333334</v>
      </c>
      <c r="C544" s="14">
        <v>214</v>
      </c>
      <c r="D544" s="15">
        <v>95</v>
      </c>
      <c r="E544" s="15">
        <f t="shared" si="106"/>
        <v>20341</v>
      </c>
      <c r="F544" s="13"/>
      <c r="G544" s="14">
        <v>229.35</v>
      </c>
      <c r="H544" s="15">
        <f t="shared" si="107"/>
        <v>21788.25</v>
      </c>
      <c r="I544" s="16">
        <f t="shared" si="108"/>
        <v>1447.25</v>
      </c>
      <c r="J544" s="19">
        <f t="shared" si="109"/>
        <v>0.07114940268423381</v>
      </c>
      <c r="K544" s="95" t="s">
        <v>212</v>
      </c>
      <c r="L544" s="119"/>
      <c r="M544" s="20">
        <f t="shared" si="110"/>
        <v>199.02</v>
      </c>
      <c r="N544" s="118">
        <v>267.7</v>
      </c>
      <c r="O544" s="121">
        <v>42136</v>
      </c>
      <c r="P544" s="116" t="s">
        <v>208</v>
      </c>
      <c r="Q544" s="117">
        <v>230.7</v>
      </c>
      <c r="R544" s="118">
        <f>Q544*0.855</f>
        <v>197.24849999999998</v>
      </c>
      <c r="S544" s="117">
        <f>1.11*C544</f>
        <v>237.54000000000002</v>
      </c>
      <c r="T544" s="116"/>
    </row>
    <row r="545" spans="1:20" s="114" customFormat="1" ht="15">
      <c r="A545" s="12" t="s">
        <v>208</v>
      </c>
      <c r="B545" s="65">
        <v>42093.29305555556</v>
      </c>
      <c r="C545" s="14">
        <v>219.41</v>
      </c>
      <c r="D545" s="15">
        <v>55</v>
      </c>
      <c r="E545" s="15">
        <f t="shared" si="106"/>
        <v>12078.55</v>
      </c>
      <c r="F545" s="13"/>
      <c r="G545" s="14">
        <v>229.35</v>
      </c>
      <c r="H545" s="15">
        <f t="shared" si="107"/>
        <v>12614.25</v>
      </c>
      <c r="I545" s="16">
        <f t="shared" si="108"/>
        <v>535.7000000000007</v>
      </c>
      <c r="J545" s="19">
        <f t="shared" si="109"/>
        <v>0.04435135012066852</v>
      </c>
      <c r="K545" s="95" t="s">
        <v>211</v>
      </c>
      <c r="L545" s="119"/>
      <c r="M545" s="20">
        <f t="shared" si="110"/>
        <v>204.0513</v>
      </c>
      <c r="N545" s="118">
        <v>267.7</v>
      </c>
      <c r="O545" s="116"/>
      <c r="P545" s="116" t="s">
        <v>208</v>
      </c>
      <c r="Q545" s="117"/>
      <c r="R545" s="118"/>
      <c r="S545" s="117"/>
      <c r="T545" s="116"/>
    </row>
    <row r="546" spans="1:20" s="114" customFormat="1" ht="15">
      <c r="A546" s="85" t="s">
        <v>208</v>
      </c>
      <c r="B546" s="65">
        <v>42117.27569444444</v>
      </c>
      <c r="C546" s="14">
        <v>226.35</v>
      </c>
      <c r="D546" s="15">
        <v>35</v>
      </c>
      <c r="E546" s="15">
        <f t="shared" si="106"/>
        <v>7933.25</v>
      </c>
      <c r="F546" s="13"/>
      <c r="G546" s="14">
        <v>229.35</v>
      </c>
      <c r="H546" s="15">
        <f t="shared" si="107"/>
        <v>8027.25</v>
      </c>
      <c r="I546" s="16">
        <f t="shared" si="108"/>
        <v>94</v>
      </c>
      <c r="J546" s="19">
        <f t="shared" si="109"/>
        <v>0.011848863958655028</v>
      </c>
      <c r="K546" s="95" t="s">
        <v>236</v>
      </c>
      <c r="L546" s="119"/>
      <c r="M546" s="20">
        <f t="shared" si="110"/>
        <v>210.5055</v>
      </c>
      <c r="N546" s="118">
        <v>267.7</v>
      </c>
      <c r="O546" s="116"/>
      <c r="P546" s="116" t="s">
        <v>208</v>
      </c>
      <c r="Q546" s="117"/>
      <c r="R546" s="118"/>
      <c r="S546" s="117"/>
      <c r="T546" s="116"/>
    </row>
    <row r="547" spans="1:20" s="114" customFormat="1" ht="15">
      <c r="A547" s="85" t="s">
        <v>49</v>
      </c>
      <c r="B547" s="65">
        <v>42117.345138888886</v>
      </c>
      <c r="C547" s="14">
        <v>117.5</v>
      </c>
      <c r="D547" s="15">
        <v>215</v>
      </c>
      <c r="E547" s="15">
        <f t="shared" si="106"/>
        <v>25273.5</v>
      </c>
      <c r="F547" s="13"/>
      <c r="G547" s="14">
        <v>122.19</v>
      </c>
      <c r="H547" s="15">
        <f t="shared" si="107"/>
        <v>26270.85</v>
      </c>
      <c r="I547" s="16">
        <f t="shared" si="108"/>
        <v>997.3499999999985</v>
      </c>
      <c r="J547" s="19">
        <f t="shared" si="109"/>
        <v>0.039462282628049086</v>
      </c>
      <c r="K547" s="95" t="s">
        <v>230</v>
      </c>
      <c r="L547" s="119"/>
      <c r="M547" s="20">
        <f t="shared" si="110"/>
        <v>109.275</v>
      </c>
      <c r="N547" s="118">
        <v>148.09</v>
      </c>
      <c r="O547" s="121">
        <v>42159</v>
      </c>
      <c r="P547" s="116" t="s">
        <v>49</v>
      </c>
      <c r="Q547" s="117"/>
      <c r="R547" s="118"/>
      <c r="S547" s="117"/>
      <c r="T547" s="116"/>
    </row>
    <row r="548" spans="1:20" s="114" customFormat="1" ht="15">
      <c r="A548" s="85" t="s">
        <v>49</v>
      </c>
      <c r="B548" s="65">
        <v>42118.274305555555</v>
      </c>
      <c r="C548" s="14">
        <v>119.93</v>
      </c>
      <c r="D548" s="15">
        <v>125</v>
      </c>
      <c r="E548" s="15">
        <f t="shared" si="106"/>
        <v>15002.25</v>
      </c>
      <c r="F548" s="13"/>
      <c r="G548" s="14">
        <v>122.19</v>
      </c>
      <c r="H548" s="15">
        <f t="shared" si="107"/>
        <v>15273.75</v>
      </c>
      <c r="I548" s="16">
        <f t="shared" si="108"/>
        <v>271.5</v>
      </c>
      <c r="J548" s="19">
        <f t="shared" si="109"/>
        <v>0.018097285407188923</v>
      </c>
      <c r="K548" s="95" t="s">
        <v>231</v>
      </c>
      <c r="L548" s="119"/>
      <c r="M548" s="20">
        <f t="shared" si="110"/>
        <v>111.53490000000001</v>
      </c>
      <c r="N548" s="118">
        <v>148.09</v>
      </c>
      <c r="O548" s="116"/>
      <c r="P548" s="116" t="s">
        <v>49</v>
      </c>
      <c r="Q548" s="117"/>
      <c r="R548" s="118"/>
      <c r="S548" s="117"/>
      <c r="T548" s="116"/>
    </row>
    <row r="549" spans="1:20" s="114" customFormat="1" ht="15">
      <c r="A549" s="85" t="s">
        <v>49</v>
      </c>
      <c r="B549" s="65">
        <v>42118.285416666666</v>
      </c>
      <c r="C549" s="14">
        <v>122.62</v>
      </c>
      <c r="D549" s="15">
        <v>80</v>
      </c>
      <c r="E549" s="15">
        <f t="shared" si="106"/>
        <v>9820.6</v>
      </c>
      <c r="F549" s="13"/>
      <c r="G549" s="14">
        <v>122.19</v>
      </c>
      <c r="H549" s="15">
        <f t="shared" si="107"/>
        <v>9775.2</v>
      </c>
      <c r="I549" s="16">
        <f t="shared" si="108"/>
        <v>-45.399999999999636</v>
      </c>
      <c r="J549" s="19">
        <f t="shared" si="109"/>
        <v>-0.004622935462191682</v>
      </c>
      <c r="K549" s="95" t="s">
        <v>232</v>
      </c>
      <c r="L549" s="119"/>
      <c r="M549" s="20">
        <f t="shared" si="110"/>
        <v>114.0366</v>
      </c>
      <c r="N549" s="118">
        <v>148.09</v>
      </c>
      <c r="O549" s="116"/>
      <c r="P549" s="116" t="s">
        <v>49</v>
      </c>
      <c r="Q549" s="117"/>
      <c r="R549" s="118"/>
      <c r="S549" s="117"/>
      <c r="T549" s="116"/>
    </row>
    <row r="550" spans="1:20" s="114" customFormat="1" ht="15">
      <c r="A550" s="12"/>
      <c r="B550" s="13"/>
      <c r="C550" s="14"/>
      <c r="D550" s="15"/>
      <c r="E550" s="15"/>
      <c r="F550" s="13"/>
      <c r="G550" s="14"/>
      <c r="H550" s="15"/>
      <c r="I550" s="16"/>
      <c r="J550" s="19"/>
      <c r="K550" s="95"/>
      <c r="L550" s="119"/>
      <c r="M550" s="32"/>
      <c r="N550" s="118"/>
      <c r="Q550" s="117"/>
      <c r="R550" s="117"/>
      <c r="S550" s="117"/>
      <c r="T550" s="116"/>
    </row>
    <row r="551" spans="1:20" s="114" customFormat="1" ht="15">
      <c r="A551" s="21" t="s">
        <v>14</v>
      </c>
      <c r="B551" s="22"/>
      <c r="C551" s="23"/>
      <c r="D551" s="24"/>
      <c r="E551" s="24">
        <f>SUM(E514:E550)</f>
        <v>416810.85000000003</v>
      </c>
      <c r="F551" s="22"/>
      <c r="G551" s="23"/>
      <c r="H551" s="24">
        <f>SUM(H514:H550)</f>
        <v>499350.8</v>
      </c>
      <c r="I551" s="25">
        <f>SUM(I514:I550)</f>
        <v>82539.94999999998</v>
      </c>
      <c r="J551" s="26">
        <f>I551/E551</f>
        <v>0.19802735461420923</v>
      </c>
      <c r="K551" s="27" t="s">
        <v>15</v>
      </c>
      <c r="L551" s="28">
        <f>100000+I553</f>
        <v>218421.11</v>
      </c>
      <c r="M551" s="81"/>
      <c r="N551" s="89"/>
      <c r="Q551" s="117"/>
      <c r="R551" s="117"/>
      <c r="S551" s="117"/>
      <c r="T551" s="116"/>
    </row>
    <row r="552" spans="1:20" s="114" customFormat="1" ht="15">
      <c r="A552" s="12" t="s">
        <v>67</v>
      </c>
      <c r="B552" s="22"/>
      <c r="C552" s="25">
        <f>I553-I509</f>
        <v>41500.499999999985</v>
      </c>
      <c r="D552" s="26">
        <f>C552/H507</f>
        <v>0.10110460936451279</v>
      </c>
      <c r="E552" s="24"/>
      <c r="F552" s="22" t="s">
        <v>16</v>
      </c>
      <c r="G552" s="117"/>
      <c r="H552" s="29" t="str">
        <f>IF(ABS(H551-E551-I551)&lt;1,"","ERROR")</f>
        <v/>
      </c>
      <c r="I552" s="30">
        <v>35881.159999999996</v>
      </c>
      <c r="J552" s="26"/>
      <c r="K552" s="111" t="s">
        <v>17</v>
      </c>
      <c r="L552" s="28">
        <f>(2*(100000+I553))-E551</f>
        <v>20031.369999999937</v>
      </c>
      <c r="M552" s="31"/>
      <c r="Q552" s="117"/>
      <c r="R552" s="117"/>
      <c r="S552" s="117"/>
      <c r="T552" s="116"/>
    </row>
    <row r="553" spans="1:20" s="114" customFormat="1" ht="15">
      <c r="A553" s="12" t="s">
        <v>54</v>
      </c>
      <c r="B553" s="22"/>
      <c r="C553" s="25">
        <f>L551-L507</f>
        <v>41500.5</v>
      </c>
      <c r="D553" s="26">
        <f>C553/L507</f>
        <v>0.2345713142182813</v>
      </c>
      <c r="E553" s="24"/>
      <c r="F553" s="22" t="s">
        <v>18</v>
      </c>
      <c r="G553" s="117"/>
      <c r="H553" s="29"/>
      <c r="I553" s="30">
        <f>I551+I552</f>
        <v>118421.10999999999</v>
      </c>
      <c r="J553" s="26">
        <f>I553/100000</f>
        <v>1.1842111</v>
      </c>
      <c r="K553" s="111" t="s">
        <v>19</v>
      </c>
      <c r="L553" s="26">
        <f>E551/(2*(100000+I553))</f>
        <v>0.9541450686703316</v>
      </c>
      <c r="M553" s="31"/>
      <c r="Q553" s="117"/>
      <c r="R553" s="117"/>
      <c r="S553" s="117"/>
      <c r="T553" s="116"/>
    </row>
    <row r="554" spans="2:20" s="114" customFormat="1" ht="15">
      <c r="B554" s="22"/>
      <c r="C554" s="25"/>
      <c r="D554" s="26"/>
      <c r="E554" s="24"/>
      <c r="F554" s="22"/>
      <c r="G554" s="117"/>
      <c r="H554" s="29"/>
      <c r="I554" s="30"/>
      <c r="J554" s="26"/>
      <c r="K554" s="111"/>
      <c r="L554" s="26"/>
      <c r="M554" s="31"/>
      <c r="Q554" s="117"/>
      <c r="R554" s="117"/>
      <c r="S554" s="117"/>
      <c r="T554" s="116"/>
    </row>
    <row r="555" spans="1:20" s="114" customFormat="1" ht="15">
      <c r="A555" s="12"/>
      <c r="B555" s="22"/>
      <c r="C555" s="25"/>
      <c r="D555" s="26"/>
      <c r="E555" s="24"/>
      <c r="F555" s="22"/>
      <c r="G555" s="117"/>
      <c r="H555" s="29"/>
      <c r="I555" s="30"/>
      <c r="J555" s="26"/>
      <c r="K555" s="111"/>
      <c r="L555" s="26"/>
      <c r="M555" s="31"/>
      <c r="Q555" s="117"/>
      <c r="R555" s="117"/>
      <c r="S555" s="117"/>
      <c r="T555" s="116"/>
    </row>
    <row r="556" spans="1:20" s="114" customFormat="1" ht="30.75" customHeight="1">
      <c r="A556" s="130" t="s">
        <v>62</v>
      </c>
      <c r="B556" s="384" t="s">
        <v>237</v>
      </c>
      <c r="C556" s="384"/>
      <c r="D556" s="384"/>
      <c r="E556" s="384"/>
      <c r="F556" s="384"/>
      <c r="G556" s="384"/>
      <c r="H556" s="384"/>
      <c r="I556" s="384"/>
      <c r="J556" s="384"/>
      <c r="K556" s="384"/>
      <c r="L556" s="384"/>
      <c r="M556" s="384"/>
      <c r="N556" s="384"/>
      <c r="O556" s="92"/>
      <c r="P556" s="92"/>
      <c r="Q556" s="104"/>
      <c r="R556" s="104"/>
      <c r="S556" s="107"/>
      <c r="T556" s="109"/>
    </row>
    <row r="557" spans="1:22" s="114" customFormat="1" ht="15">
      <c r="A557" s="2" t="s">
        <v>0</v>
      </c>
      <c r="B557" s="3" t="s">
        <v>1</v>
      </c>
      <c r="C557" s="4" t="s">
        <v>2</v>
      </c>
      <c r="D557" s="5" t="s">
        <v>3</v>
      </c>
      <c r="E557" s="6" t="s">
        <v>4</v>
      </c>
      <c r="F557" s="3" t="s">
        <v>5</v>
      </c>
      <c r="G557" s="7" t="s">
        <v>2</v>
      </c>
      <c r="H557" s="6" t="s">
        <v>6</v>
      </c>
      <c r="I557" s="6" t="s">
        <v>7</v>
      </c>
      <c r="J557" s="8" t="s">
        <v>8</v>
      </c>
      <c r="K557" s="9" t="s">
        <v>9</v>
      </c>
      <c r="L557" s="10" t="s">
        <v>10</v>
      </c>
      <c r="M557" s="11" t="s">
        <v>11</v>
      </c>
      <c r="N557" s="103" t="s">
        <v>53</v>
      </c>
      <c r="O557" s="105" t="s">
        <v>110</v>
      </c>
      <c r="P557" s="106" t="s">
        <v>0</v>
      </c>
      <c r="Q557" s="117" t="s">
        <v>13</v>
      </c>
      <c r="R557" s="117" t="s">
        <v>70</v>
      </c>
      <c r="S557" s="111" t="s">
        <v>103</v>
      </c>
      <c r="T557" s="116" t="s">
        <v>107</v>
      </c>
      <c r="V557" s="9"/>
    </row>
    <row r="558" spans="1:22" s="114" customFormat="1" ht="15">
      <c r="A558" s="12" t="s">
        <v>80</v>
      </c>
      <c r="B558" s="65">
        <v>42011.30486111111</v>
      </c>
      <c r="C558" s="14">
        <v>58.02</v>
      </c>
      <c r="D558" s="15">
        <v>250</v>
      </c>
      <c r="E558" s="15">
        <f aca="true" t="shared" si="111" ref="E558:E593">C558*D558+11</f>
        <v>14516</v>
      </c>
      <c r="F558" s="13"/>
      <c r="G558" s="14">
        <v>91.67</v>
      </c>
      <c r="H558" s="15">
        <f aca="true" t="shared" si="112" ref="H558:H593">G558*D558</f>
        <v>22917.5</v>
      </c>
      <c r="I558" s="16">
        <f aca="true" t="shared" si="113" ref="I558:I593">H558-E558</f>
        <v>8401.5</v>
      </c>
      <c r="J558" s="19">
        <f aca="true" t="shared" si="114" ref="J558:J593">I558/E558</f>
        <v>0.5787751446679527</v>
      </c>
      <c r="K558" s="95" t="s">
        <v>234</v>
      </c>
      <c r="L558" s="97">
        <v>78.63</v>
      </c>
      <c r="M558" s="41">
        <f aca="true" t="shared" si="115" ref="M558:M593">C558*0.93</f>
        <v>53.958600000000004</v>
      </c>
      <c r="N558" s="118">
        <v>76.6</v>
      </c>
      <c r="O558" s="121">
        <v>42090</v>
      </c>
      <c r="P558" s="116" t="s">
        <v>80</v>
      </c>
      <c r="Q558" s="117">
        <v>91.97</v>
      </c>
      <c r="R558" s="118">
        <f>Q558*0.855</f>
        <v>78.63435</v>
      </c>
      <c r="S558" s="117">
        <f>1.11*C558</f>
        <v>64.40220000000001</v>
      </c>
      <c r="T558" s="116"/>
      <c r="V558" s="131"/>
    </row>
    <row r="559" spans="1:22" s="114" customFormat="1" ht="15">
      <c r="A559" s="12" t="s">
        <v>80</v>
      </c>
      <c r="B559" s="65">
        <v>42011.40694444445</v>
      </c>
      <c r="C559" s="14">
        <v>59.16</v>
      </c>
      <c r="D559" s="15">
        <v>150</v>
      </c>
      <c r="E559" s="15">
        <f t="shared" si="111"/>
        <v>8885</v>
      </c>
      <c r="F559" s="13"/>
      <c r="G559" s="14">
        <v>91.67</v>
      </c>
      <c r="H559" s="15">
        <f t="shared" si="112"/>
        <v>13750.5</v>
      </c>
      <c r="I559" s="16">
        <f t="shared" si="113"/>
        <v>4865.5</v>
      </c>
      <c r="J559" s="122">
        <f t="shared" si="114"/>
        <v>0.5476083286437816</v>
      </c>
      <c r="K559" s="95" t="s">
        <v>82</v>
      </c>
      <c r="L559" s="97">
        <v>78.63</v>
      </c>
      <c r="M559" s="41">
        <f t="shared" si="115"/>
        <v>55.0188</v>
      </c>
      <c r="N559" s="118">
        <v>77.93</v>
      </c>
      <c r="O559" s="116"/>
      <c r="P559" s="116" t="s">
        <v>80</v>
      </c>
      <c r="Q559" s="117"/>
      <c r="R559" s="118"/>
      <c r="S559" s="117"/>
      <c r="T559" s="116"/>
      <c r="V559" s="131"/>
    </row>
    <row r="560" spans="1:22" s="114" customFormat="1" ht="15">
      <c r="A560" s="12" t="s">
        <v>80</v>
      </c>
      <c r="B560" s="65">
        <v>42012.29305555556</v>
      </c>
      <c r="C560" s="14">
        <v>60.3</v>
      </c>
      <c r="D560" s="15">
        <v>100</v>
      </c>
      <c r="E560" s="15">
        <f t="shared" si="111"/>
        <v>6041</v>
      </c>
      <c r="F560" s="13"/>
      <c r="G560" s="14">
        <v>91.67</v>
      </c>
      <c r="H560" s="15">
        <f t="shared" si="112"/>
        <v>9167</v>
      </c>
      <c r="I560" s="16">
        <f t="shared" si="113"/>
        <v>3126</v>
      </c>
      <c r="J560" s="19">
        <f t="shared" si="114"/>
        <v>0.5174639960271479</v>
      </c>
      <c r="K560" s="95" t="s">
        <v>83</v>
      </c>
      <c r="L560" s="97">
        <v>78.63</v>
      </c>
      <c r="M560" s="41">
        <f t="shared" si="115"/>
        <v>56.079</v>
      </c>
      <c r="N560" s="118">
        <v>77.93</v>
      </c>
      <c r="O560" s="116"/>
      <c r="P560" s="116" t="s">
        <v>80</v>
      </c>
      <c r="Q560" s="117"/>
      <c r="R560" s="118"/>
      <c r="S560" s="117"/>
      <c r="T560" s="116"/>
      <c r="V560" s="131"/>
    </row>
    <row r="561" spans="1:22" s="114" customFormat="1" ht="15">
      <c r="A561" s="12" t="s">
        <v>80</v>
      </c>
      <c r="B561" s="65">
        <v>42047.271527777775</v>
      </c>
      <c r="C561" s="14">
        <v>64.65</v>
      </c>
      <c r="D561" s="15">
        <v>100</v>
      </c>
      <c r="E561" s="15">
        <f t="shared" si="111"/>
        <v>6476.000000000001</v>
      </c>
      <c r="F561" s="13"/>
      <c r="G561" s="14">
        <v>91.67</v>
      </c>
      <c r="H561" s="15">
        <f t="shared" si="112"/>
        <v>9167</v>
      </c>
      <c r="I561" s="16">
        <f t="shared" si="113"/>
        <v>2690.999999999999</v>
      </c>
      <c r="J561" s="19">
        <f t="shared" si="114"/>
        <v>0.41553428042001217</v>
      </c>
      <c r="K561" s="95" t="s">
        <v>132</v>
      </c>
      <c r="L561" s="97">
        <v>78.63</v>
      </c>
      <c r="M561" s="41">
        <f t="shared" si="115"/>
        <v>60.12450000000001</v>
      </c>
      <c r="N561" s="118">
        <v>77.93</v>
      </c>
      <c r="O561" s="116"/>
      <c r="P561" s="116" t="s">
        <v>80</v>
      </c>
      <c r="Q561" s="117"/>
      <c r="R561" s="118"/>
      <c r="S561" s="117"/>
      <c r="T561" s="116"/>
      <c r="V561" s="131"/>
    </row>
    <row r="562" spans="1:22" s="114" customFormat="1" ht="15">
      <c r="A562" s="12" t="s">
        <v>80</v>
      </c>
      <c r="B562" s="65">
        <v>42081.34097222222</v>
      </c>
      <c r="C562" s="14">
        <v>70</v>
      </c>
      <c r="D562" s="15">
        <v>120</v>
      </c>
      <c r="E562" s="15">
        <f t="shared" si="111"/>
        <v>8411</v>
      </c>
      <c r="F562" s="13"/>
      <c r="G562" s="14">
        <v>91.67</v>
      </c>
      <c r="H562" s="15">
        <f t="shared" si="112"/>
        <v>11000.4</v>
      </c>
      <c r="I562" s="16">
        <f t="shared" si="113"/>
        <v>2589.3999999999996</v>
      </c>
      <c r="J562" s="19">
        <f t="shared" si="114"/>
        <v>0.307858756390441</v>
      </c>
      <c r="K562" s="95" t="s">
        <v>181</v>
      </c>
      <c r="L562" s="97">
        <v>78.63</v>
      </c>
      <c r="M562" s="41">
        <f t="shared" si="115"/>
        <v>65.10000000000001</v>
      </c>
      <c r="N562" s="118">
        <v>77.93</v>
      </c>
      <c r="O562" s="116"/>
      <c r="P562" s="116" t="s">
        <v>80</v>
      </c>
      <c r="Q562" s="117"/>
      <c r="R562" s="118"/>
      <c r="S562" s="117"/>
      <c r="T562" s="116"/>
      <c r="V562" s="131"/>
    </row>
    <row r="563" spans="1:22" s="114" customFormat="1" ht="15">
      <c r="A563" s="12" t="s">
        <v>80</v>
      </c>
      <c r="B563" s="65">
        <v>42117.55694444444</v>
      </c>
      <c r="C563" s="14">
        <v>77.75</v>
      </c>
      <c r="D563" s="15">
        <v>150</v>
      </c>
      <c r="E563" s="15">
        <f t="shared" si="111"/>
        <v>11673.5</v>
      </c>
      <c r="F563" s="13"/>
      <c r="G563" s="14">
        <v>91.67</v>
      </c>
      <c r="H563" s="15">
        <f t="shared" si="112"/>
        <v>13750.5</v>
      </c>
      <c r="I563" s="16">
        <f t="shared" si="113"/>
        <v>2077</v>
      </c>
      <c r="J563" s="19">
        <f t="shared" si="114"/>
        <v>0.17792435858996875</v>
      </c>
      <c r="K563" s="95" t="s">
        <v>233</v>
      </c>
      <c r="L563" s="97">
        <v>78.63</v>
      </c>
      <c r="M563" s="41">
        <f t="shared" si="115"/>
        <v>72.3075</v>
      </c>
      <c r="N563" s="118">
        <v>77.93</v>
      </c>
      <c r="O563" s="116"/>
      <c r="P563" s="116" t="s">
        <v>80</v>
      </c>
      <c r="Q563" s="117"/>
      <c r="R563" s="118"/>
      <c r="S563" s="117"/>
      <c r="T563" s="116"/>
      <c r="V563" s="131"/>
    </row>
    <row r="564" spans="1:20" s="114" customFormat="1" ht="15">
      <c r="A564" s="12" t="s">
        <v>61</v>
      </c>
      <c r="B564" s="65">
        <v>42040.27847222222</v>
      </c>
      <c r="C564" s="14">
        <v>132.85</v>
      </c>
      <c r="D564" s="15">
        <v>110</v>
      </c>
      <c r="E564" s="15">
        <f t="shared" si="111"/>
        <v>14624.5</v>
      </c>
      <c r="F564" s="65"/>
      <c r="G564" s="14">
        <v>154.27</v>
      </c>
      <c r="H564" s="15">
        <f t="shared" si="112"/>
        <v>16969.7</v>
      </c>
      <c r="I564" s="16">
        <f t="shared" si="113"/>
        <v>2345.2000000000007</v>
      </c>
      <c r="J564" s="19">
        <f t="shared" si="114"/>
        <v>0.16036103798420465</v>
      </c>
      <c r="K564" s="95" t="s">
        <v>134</v>
      </c>
      <c r="L564" s="119">
        <v>135.92</v>
      </c>
      <c r="M564" s="41">
        <f t="shared" si="115"/>
        <v>123.5505</v>
      </c>
      <c r="N564" s="118">
        <v>168.13</v>
      </c>
      <c r="O564" s="121">
        <v>42086</v>
      </c>
      <c r="P564" s="116" t="s">
        <v>61</v>
      </c>
      <c r="Q564" s="117">
        <v>158.97</v>
      </c>
      <c r="R564" s="118">
        <f>Q564*0.855</f>
        <v>135.91935</v>
      </c>
      <c r="S564" s="117">
        <f>1.11*C564</f>
        <v>147.4635</v>
      </c>
      <c r="T564" s="116"/>
    </row>
    <row r="565" spans="1:20" s="114" customFormat="1" ht="15">
      <c r="A565" s="12" t="s">
        <v>61</v>
      </c>
      <c r="B565" s="65">
        <v>42045.27291666667</v>
      </c>
      <c r="C565" s="14">
        <v>135.9</v>
      </c>
      <c r="D565" s="15">
        <v>65</v>
      </c>
      <c r="E565" s="15">
        <f t="shared" si="111"/>
        <v>8844.5</v>
      </c>
      <c r="F565" s="13"/>
      <c r="G565" s="14">
        <v>154.27</v>
      </c>
      <c r="H565" s="15">
        <f t="shared" si="112"/>
        <v>10027.550000000001</v>
      </c>
      <c r="I565" s="16">
        <f t="shared" si="113"/>
        <v>1183.050000000001</v>
      </c>
      <c r="J565" s="19">
        <f t="shared" si="114"/>
        <v>0.13376109446548715</v>
      </c>
      <c r="K565" s="95" t="s">
        <v>141</v>
      </c>
      <c r="L565" s="119">
        <v>135.92</v>
      </c>
      <c r="M565" s="41">
        <f t="shared" si="115"/>
        <v>126.38700000000001</v>
      </c>
      <c r="N565" s="118">
        <v>168.13</v>
      </c>
      <c r="O565" s="116"/>
      <c r="P565" s="116" t="s">
        <v>61</v>
      </c>
      <c r="Q565" s="117"/>
      <c r="R565" s="118"/>
      <c r="S565" s="117"/>
      <c r="T565" s="116"/>
    </row>
    <row r="566" spans="1:20" s="114" customFormat="1" ht="15">
      <c r="A566" s="12" t="s">
        <v>61</v>
      </c>
      <c r="B566" s="65">
        <v>42054.277083333334</v>
      </c>
      <c r="C566" s="14">
        <v>139.17</v>
      </c>
      <c r="D566" s="15">
        <v>40</v>
      </c>
      <c r="E566" s="15">
        <f t="shared" si="111"/>
        <v>5577.799999999999</v>
      </c>
      <c r="F566" s="13"/>
      <c r="G566" s="14">
        <v>154.27</v>
      </c>
      <c r="H566" s="15">
        <f t="shared" si="112"/>
        <v>6170.8</v>
      </c>
      <c r="I566" s="16">
        <f t="shared" si="113"/>
        <v>593.0000000000009</v>
      </c>
      <c r="J566" s="19">
        <f t="shared" si="114"/>
        <v>0.10631431747283893</v>
      </c>
      <c r="K566" s="95" t="s">
        <v>140</v>
      </c>
      <c r="L566" s="119">
        <v>135.92</v>
      </c>
      <c r="M566" s="41">
        <f t="shared" si="115"/>
        <v>129.4281</v>
      </c>
      <c r="N566" s="118">
        <v>168.13</v>
      </c>
      <c r="O566" s="116"/>
      <c r="P566" s="116" t="s">
        <v>61</v>
      </c>
      <c r="Q566" s="117"/>
      <c r="R566" s="118"/>
      <c r="S566" s="117"/>
      <c r="T566" s="116"/>
    </row>
    <row r="567" spans="1:20" s="114" customFormat="1" ht="15">
      <c r="A567" s="12" t="s">
        <v>61</v>
      </c>
      <c r="B567" s="65">
        <v>42075.56458333333</v>
      </c>
      <c r="C567" s="14">
        <v>154</v>
      </c>
      <c r="D567" s="15">
        <v>40</v>
      </c>
      <c r="E567" s="15">
        <f t="shared" si="111"/>
        <v>6171</v>
      </c>
      <c r="F567" s="13"/>
      <c r="G567" s="14">
        <v>154.27</v>
      </c>
      <c r="H567" s="15">
        <f t="shared" si="112"/>
        <v>6170.8</v>
      </c>
      <c r="I567" s="16">
        <f t="shared" si="113"/>
        <v>-0.1999999999998181</v>
      </c>
      <c r="J567" s="19">
        <f t="shared" si="114"/>
        <v>-3.24096580780778E-05</v>
      </c>
      <c r="K567" s="95" t="s">
        <v>160</v>
      </c>
      <c r="L567" s="119"/>
      <c r="M567" s="20">
        <f t="shared" si="115"/>
        <v>143.22</v>
      </c>
      <c r="N567" s="118">
        <v>168.13</v>
      </c>
      <c r="O567" s="116"/>
      <c r="P567" s="116" t="s">
        <v>61</v>
      </c>
      <c r="Q567" s="117"/>
      <c r="R567" s="118"/>
      <c r="S567" s="117"/>
      <c r="T567" s="116"/>
    </row>
    <row r="568" spans="1:20" s="114" customFormat="1" ht="15">
      <c r="A568" s="12" t="s">
        <v>61</v>
      </c>
      <c r="B568" s="65">
        <v>42109.27222222222</v>
      </c>
      <c r="C568" s="14">
        <v>156.13</v>
      </c>
      <c r="D568" s="15">
        <v>50</v>
      </c>
      <c r="E568" s="15">
        <f t="shared" si="111"/>
        <v>7817.5</v>
      </c>
      <c r="F568" s="13"/>
      <c r="G568" s="14">
        <v>154.27</v>
      </c>
      <c r="H568" s="15">
        <f t="shared" si="112"/>
        <v>7713.500000000001</v>
      </c>
      <c r="I568" s="16">
        <f t="shared" si="113"/>
        <v>-103.99999999999909</v>
      </c>
      <c r="J568" s="19">
        <f t="shared" si="114"/>
        <v>-0.013303485769107655</v>
      </c>
      <c r="K568" s="95" t="s">
        <v>221</v>
      </c>
      <c r="L568" s="119"/>
      <c r="M568" s="20">
        <f t="shared" si="115"/>
        <v>145.2009</v>
      </c>
      <c r="N568" s="118">
        <v>168.13</v>
      </c>
      <c r="O568" s="116"/>
      <c r="P568" s="116" t="s">
        <v>61</v>
      </c>
      <c r="Q568" s="117"/>
      <c r="R568" s="118"/>
      <c r="S568" s="117"/>
      <c r="T568" s="116"/>
    </row>
    <row r="569" spans="1:20" s="114" customFormat="1" ht="15">
      <c r="A569" s="12" t="s">
        <v>52</v>
      </c>
      <c r="B569" s="65">
        <v>42046.27361111111</v>
      </c>
      <c r="C569" s="14">
        <v>129.75</v>
      </c>
      <c r="D569" s="15">
        <v>80</v>
      </c>
      <c r="E569" s="15">
        <f t="shared" si="111"/>
        <v>10391</v>
      </c>
      <c r="F569" s="65"/>
      <c r="G569" s="14">
        <v>150.82</v>
      </c>
      <c r="H569" s="15">
        <f t="shared" si="112"/>
        <v>12065.599999999999</v>
      </c>
      <c r="I569" s="16">
        <f t="shared" si="113"/>
        <v>1674.5999999999985</v>
      </c>
      <c r="J569" s="19">
        <f t="shared" si="114"/>
        <v>0.16115869502454033</v>
      </c>
      <c r="K569" s="95" t="s">
        <v>135</v>
      </c>
      <c r="L569" s="119">
        <v>135.3</v>
      </c>
      <c r="M569" s="41">
        <f t="shared" si="115"/>
        <v>120.6675</v>
      </c>
      <c r="N569" s="118">
        <v>161.78</v>
      </c>
      <c r="O569" s="121">
        <f>WORKDAY(B569,40,'Weekly Summary'!P$2:P$10)</f>
        <v>42104</v>
      </c>
      <c r="P569" s="116" t="s">
        <v>52</v>
      </c>
      <c r="Q569" s="117">
        <v>158.24</v>
      </c>
      <c r="R569" s="118">
        <f>Q569*0.855</f>
        <v>135.2952</v>
      </c>
      <c r="S569" s="117">
        <f>1.11*C569</f>
        <v>144.0225</v>
      </c>
      <c r="T569" s="116"/>
    </row>
    <row r="570" spans="1:20" s="114" customFormat="1" ht="15">
      <c r="A570" s="12" t="s">
        <v>52</v>
      </c>
      <c r="B570" s="65">
        <v>42047.275</v>
      </c>
      <c r="C570" s="14">
        <v>133.95</v>
      </c>
      <c r="D570" s="15">
        <v>45</v>
      </c>
      <c r="E570" s="15">
        <f t="shared" si="111"/>
        <v>6038.749999999999</v>
      </c>
      <c r="F570" s="13"/>
      <c r="G570" s="14">
        <v>150.82</v>
      </c>
      <c r="H570" s="15">
        <f t="shared" si="112"/>
        <v>6786.9</v>
      </c>
      <c r="I570" s="16">
        <f t="shared" si="113"/>
        <v>748.1500000000005</v>
      </c>
      <c r="J570" s="19">
        <f t="shared" si="114"/>
        <v>0.12389153384392476</v>
      </c>
      <c r="K570" s="95" t="s">
        <v>136</v>
      </c>
      <c r="L570" s="119">
        <v>135.3</v>
      </c>
      <c r="M570" s="41">
        <f t="shared" si="115"/>
        <v>124.5735</v>
      </c>
      <c r="N570" s="118">
        <v>161.78</v>
      </c>
      <c r="O570" s="116"/>
      <c r="P570" s="116" t="s">
        <v>52</v>
      </c>
      <c r="Q570" s="117"/>
      <c r="R570" s="118"/>
      <c r="S570" s="117"/>
      <c r="T570" s="116"/>
    </row>
    <row r="571" spans="1:20" s="114" customFormat="1" ht="15">
      <c r="A571" s="12" t="s">
        <v>52</v>
      </c>
      <c r="B571" s="65">
        <v>42048.450694444444</v>
      </c>
      <c r="C571" s="14">
        <v>135.8</v>
      </c>
      <c r="D571" s="15">
        <v>30</v>
      </c>
      <c r="E571" s="15">
        <f t="shared" si="111"/>
        <v>4085.0000000000005</v>
      </c>
      <c r="F571" s="13"/>
      <c r="G571" s="14">
        <v>150.82</v>
      </c>
      <c r="H571" s="15">
        <f t="shared" si="112"/>
        <v>4524.599999999999</v>
      </c>
      <c r="I571" s="16">
        <f t="shared" si="113"/>
        <v>439.599999999999</v>
      </c>
      <c r="J571" s="19">
        <f t="shared" si="114"/>
        <v>0.107613219094247</v>
      </c>
      <c r="K571" s="95" t="s">
        <v>143</v>
      </c>
      <c r="L571" s="119">
        <v>135.3</v>
      </c>
      <c r="M571" s="41">
        <f t="shared" si="115"/>
        <v>126.29400000000001</v>
      </c>
      <c r="N571" s="118">
        <v>161.78</v>
      </c>
      <c r="O571" s="116"/>
      <c r="P571" s="116" t="s">
        <v>52</v>
      </c>
      <c r="Q571" s="117"/>
      <c r="R571" s="118"/>
      <c r="S571" s="117"/>
      <c r="T571" s="116"/>
    </row>
    <row r="572" spans="1:20" s="114" customFormat="1" ht="15">
      <c r="A572" s="12" t="s">
        <v>52</v>
      </c>
      <c r="B572" s="65">
        <v>42074.29027777778</v>
      </c>
      <c r="C572" s="14">
        <v>140.55</v>
      </c>
      <c r="D572" s="15">
        <v>30</v>
      </c>
      <c r="E572" s="15">
        <f t="shared" si="111"/>
        <v>4227.5</v>
      </c>
      <c r="F572" s="13"/>
      <c r="G572" s="14">
        <v>150.82</v>
      </c>
      <c r="H572" s="15">
        <f t="shared" si="112"/>
        <v>4524.599999999999</v>
      </c>
      <c r="I572" s="16">
        <f t="shared" si="113"/>
        <v>297.09999999999945</v>
      </c>
      <c r="J572" s="19">
        <f t="shared" si="114"/>
        <v>0.07027794204612642</v>
      </c>
      <c r="K572" s="95" t="s">
        <v>182</v>
      </c>
      <c r="L572" s="119">
        <v>135.3</v>
      </c>
      <c r="M572" s="41">
        <f t="shared" si="115"/>
        <v>130.71150000000003</v>
      </c>
      <c r="N572" s="118">
        <v>161.78</v>
      </c>
      <c r="O572" s="116"/>
      <c r="P572" s="116" t="s">
        <v>52</v>
      </c>
      <c r="Q572" s="117"/>
      <c r="R572" s="118"/>
      <c r="S572" s="117"/>
      <c r="T572" s="116"/>
    </row>
    <row r="573" spans="1:20" s="114" customFormat="1" ht="15">
      <c r="A573" s="12" t="s">
        <v>52</v>
      </c>
      <c r="B573" s="65">
        <v>42093.27638888889</v>
      </c>
      <c r="C573" s="14">
        <v>149.29</v>
      </c>
      <c r="D573" s="15">
        <v>40</v>
      </c>
      <c r="E573" s="15">
        <f t="shared" si="111"/>
        <v>5982.599999999999</v>
      </c>
      <c r="F573" s="13"/>
      <c r="G573" s="14">
        <v>150.82</v>
      </c>
      <c r="H573" s="15">
        <f t="shared" si="112"/>
        <v>6032.799999999999</v>
      </c>
      <c r="I573" s="16">
        <f t="shared" si="113"/>
        <v>50.19999999999982</v>
      </c>
      <c r="J573" s="19">
        <f t="shared" si="114"/>
        <v>0.00839100056831475</v>
      </c>
      <c r="K573" s="95" t="s">
        <v>213</v>
      </c>
      <c r="L573" s="119"/>
      <c r="M573" s="20">
        <f t="shared" si="115"/>
        <v>138.8397</v>
      </c>
      <c r="N573" s="118">
        <v>161.78</v>
      </c>
      <c r="O573" s="116"/>
      <c r="P573" s="116" t="s">
        <v>52</v>
      </c>
      <c r="Q573" s="117"/>
      <c r="R573" s="118"/>
      <c r="S573" s="117"/>
      <c r="T573" s="116"/>
    </row>
    <row r="574" spans="1:20" s="114" customFormat="1" ht="15">
      <c r="A574" s="12" t="s">
        <v>39</v>
      </c>
      <c r="B574" s="65">
        <v>42062.53680555556</v>
      </c>
      <c r="C574" s="14">
        <v>57.65</v>
      </c>
      <c r="D574" s="15">
        <v>100</v>
      </c>
      <c r="E574" s="15">
        <f t="shared" si="111"/>
        <v>5776</v>
      </c>
      <c r="F574" s="13"/>
      <c r="G574" s="14">
        <v>76.05</v>
      </c>
      <c r="H574" s="15">
        <f t="shared" si="112"/>
        <v>7605</v>
      </c>
      <c r="I574" s="16">
        <f t="shared" si="113"/>
        <v>1829</v>
      </c>
      <c r="J574" s="19">
        <f t="shared" si="114"/>
        <v>0.31665512465373963</v>
      </c>
      <c r="K574" s="95" t="s">
        <v>149</v>
      </c>
      <c r="L574" s="119">
        <v>66.17</v>
      </c>
      <c r="M574" s="41">
        <f t="shared" si="115"/>
        <v>53.6145</v>
      </c>
      <c r="N574" s="118">
        <v>79</v>
      </c>
      <c r="O574" s="121">
        <v>42124</v>
      </c>
      <c r="P574" s="116" t="s">
        <v>39</v>
      </c>
      <c r="Q574" s="117">
        <v>77.39</v>
      </c>
      <c r="R574" s="118">
        <f>Q574*0.855</f>
        <v>66.16844999999999</v>
      </c>
      <c r="S574" s="117">
        <f>1.11*C574</f>
        <v>63.9915</v>
      </c>
      <c r="T574" s="116"/>
    </row>
    <row r="575" spans="1:20" s="114" customFormat="1" ht="15">
      <c r="A575" s="12" t="s">
        <v>39</v>
      </c>
      <c r="B575" s="65">
        <v>42073.322916666664</v>
      </c>
      <c r="C575" s="14">
        <v>65.15</v>
      </c>
      <c r="D575" s="15">
        <v>350</v>
      </c>
      <c r="E575" s="15">
        <f t="shared" si="111"/>
        <v>22813.500000000004</v>
      </c>
      <c r="F575" s="13"/>
      <c r="G575" s="14">
        <v>76.05</v>
      </c>
      <c r="H575" s="15">
        <f t="shared" si="112"/>
        <v>26617.5</v>
      </c>
      <c r="I575" s="16">
        <f t="shared" si="113"/>
        <v>3803.9999999999964</v>
      </c>
      <c r="J575" s="19">
        <f t="shared" si="114"/>
        <v>0.16674337563284877</v>
      </c>
      <c r="K575" s="95" t="s">
        <v>164</v>
      </c>
      <c r="L575" s="119">
        <v>66.17</v>
      </c>
      <c r="M575" s="41">
        <f t="shared" si="115"/>
        <v>60.58950000000001</v>
      </c>
      <c r="N575" s="118">
        <v>79</v>
      </c>
      <c r="O575" s="116"/>
      <c r="P575" s="116" t="s">
        <v>39</v>
      </c>
      <c r="Q575" s="117"/>
      <c r="R575" s="118"/>
      <c r="S575" s="117"/>
      <c r="T575" s="116"/>
    </row>
    <row r="576" spans="1:20" s="114" customFormat="1" ht="15">
      <c r="A576" s="12" t="s">
        <v>39</v>
      </c>
      <c r="B576" s="65">
        <v>42073.35555555556</v>
      </c>
      <c r="C576" s="14">
        <v>66.15</v>
      </c>
      <c r="D576" s="15">
        <v>110</v>
      </c>
      <c r="E576" s="15">
        <f t="shared" si="111"/>
        <v>7287.500000000001</v>
      </c>
      <c r="F576" s="13"/>
      <c r="G576" s="14">
        <v>76.05</v>
      </c>
      <c r="H576" s="15">
        <f t="shared" si="112"/>
        <v>8365.5</v>
      </c>
      <c r="I576" s="16">
        <f t="shared" si="113"/>
        <v>1077.999999999999</v>
      </c>
      <c r="J576" s="19">
        <f t="shared" si="114"/>
        <v>0.14792452830188665</v>
      </c>
      <c r="K576" s="95" t="s">
        <v>165</v>
      </c>
      <c r="L576" s="119">
        <v>66.17</v>
      </c>
      <c r="M576" s="41">
        <f t="shared" si="115"/>
        <v>61.51950000000001</v>
      </c>
      <c r="N576" s="118">
        <v>79</v>
      </c>
      <c r="O576" s="116"/>
      <c r="P576" s="116" t="s">
        <v>39</v>
      </c>
      <c r="Q576" s="117"/>
      <c r="R576" s="118"/>
      <c r="S576" s="117"/>
      <c r="T576" s="116"/>
    </row>
    <row r="577" spans="1:20" s="114" customFormat="1" ht="15">
      <c r="A577" s="12" t="s">
        <v>39</v>
      </c>
      <c r="B577" s="65">
        <v>42093.34375</v>
      </c>
      <c r="C577" s="14">
        <v>73.37</v>
      </c>
      <c r="D577" s="15">
        <v>110</v>
      </c>
      <c r="E577" s="15">
        <f t="shared" si="111"/>
        <v>8081.700000000001</v>
      </c>
      <c r="F577" s="13"/>
      <c r="G577" s="14">
        <v>76.05</v>
      </c>
      <c r="H577" s="15">
        <f t="shared" si="112"/>
        <v>8365.5</v>
      </c>
      <c r="I577" s="16">
        <f t="shared" si="113"/>
        <v>283.7999999999993</v>
      </c>
      <c r="J577" s="19">
        <f t="shared" si="114"/>
        <v>0.03511637403021632</v>
      </c>
      <c r="K577" s="95" t="s">
        <v>214</v>
      </c>
      <c r="L577" s="119"/>
      <c r="M577" s="20">
        <f t="shared" si="115"/>
        <v>68.23410000000001</v>
      </c>
      <c r="N577" s="118">
        <v>79</v>
      </c>
      <c r="O577" s="116"/>
      <c r="P577" s="116" t="s">
        <v>39</v>
      </c>
      <c r="Q577" s="117"/>
      <c r="R577" s="118"/>
      <c r="S577" s="117"/>
      <c r="T577" s="116"/>
    </row>
    <row r="578" spans="1:20" s="114" customFormat="1" ht="15">
      <c r="A578" s="12" t="s">
        <v>169</v>
      </c>
      <c r="B578" s="65">
        <v>42076.538194444445</v>
      </c>
      <c r="C578" s="14">
        <v>56.64</v>
      </c>
      <c r="D578" s="15">
        <v>320</v>
      </c>
      <c r="E578" s="15">
        <f t="shared" si="111"/>
        <v>18135.8</v>
      </c>
      <c r="F578" s="13"/>
      <c r="G578" s="14">
        <v>60.79</v>
      </c>
      <c r="H578" s="15">
        <f t="shared" si="112"/>
        <v>19452.8</v>
      </c>
      <c r="I578" s="16">
        <f t="shared" si="113"/>
        <v>1317</v>
      </c>
      <c r="J578" s="19">
        <f t="shared" si="114"/>
        <v>0.072618798178189</v>
      </c>
      <c r="K578" s="95" t="s">
        <v>170</v>
      </c>
      <c r="L578" s="119"/>
      <c r="M578" s="20">
        <f t="shared" si="115"/>
        <v>52.675200000000004</v>
      </c>
      <c r="N578" s="118">
        <v>71.25</v>
      </c>
      <c r="O578" s="121">
        <v>42132</v>
      </c>
      <c r="P578" s="116" t="s">
        <v>169</v>
      </c>
      <c r="Q578" s="117">
        <v>61.22</v>
      </c>
      <c r="R578" s="118">
        <f>Q578*0.855</f>
        <v>52.3431</v>
      </c>
      <c r="S578" s="117">
        <f>1.11*C578</f>
        <v>62.870400000000004</v>
      </c>
      <c r="T578" s="116"/>
    </row>
    <row r="579" spans="1:20" s="114" customFormat="1" ht="15">
      <c r="A579" s="12" t="s">
        <v>169</v>
      </c>
      <c r="B579" s="65">
        <v>42082.302777777775</v>
      </c>
      <c r="C579" s="14">
        <v>57.9</v>
      </c>
      <c r="D579" s="15">
        <v>190</v>
      </c>
      <c r="E579" s="15">
        <f t="shared" si="111"/>
        <v>11012</v>
      </c>
      <c r="F579" s="13"/>
      <c r="G579" s="14">
        <v>60.79</v>
      </c>
      <c r="H579" s="15">
        <f t="shared" si="112"/>
        <v>11550.1</v>
      </c>
      <c r="I579" s="16">
        <f t="shared" si="113"/>
        <v>538.1000000000004</v>
      </c>
      <c r="J579" s="19">
        <f t="shared" si="114"/>
        <v>0.048864874682164945</v>
      </c>
      <c r="K579" s="95" t="s">
        <v>217</v>
      </c>
      <c r="L579" s="119"/>
      <c r="M579" s="20">
        <f t="shared" si="115"/>
        <v>53.847</v>
      </c>
      <c r="N579" s="118">
        <v>71.25</v>
      </c>
      <c r="O579" s="116"/>
      <c r="P579" s="116" t="s">
        <v>169</v>
      </c>
      <c r="Q579" s="117"/>
      <c r="R579" s="118"/>
      <c r="S579" s="117"/>
      <c r="T579" s="116"/>
    </row>
    <row r="580" spans="1:20" s="114" customFormat="1" ht="15">
      <c r="A580" s="12" t="s">
        <v>169</v>
      </c>
      <c r="B580" s="65">
        <v>42103.433333333334</v>
      </c>
      <c r="C580" s="14">
        <v>59.27</v>
      </c>
      <c r="D580" s="15">
        <v>125</v>
      </c>
      <c r="E580" s="15">
        <f t="shared" si="111"/>
        <v>7419.75</v>
      </c>
      <c r="F580" s="13"/>
      <c r="G580" s="14">
        <v>60.79</v>
      </c>
      <c r="H580" s="15">
        <f t="shared" si="112"/>
        <v>7598.75</v>
      </c>
      <c r="I580" s="16">
        <f t="shared" si="113"/>
        <v>179</v>
      </c>
      <c r="J580" s="19">
        <f t="shared" si="114"/>
        <v>0.024124802048586542</v>
      </c>
      <c r="K580" s="95" t="s">
        <v>216</v>
      </c>
      <c r="L580" s="119"/>
      <c r="M580" s="20">
        <f t="shared" si="115"/>
        <v>55.121100000000006</v>
      </c>
      <c r="N580" s="118">
        <v>71.25</v>
      </c>
      <c r="O580" s="116"/>
      <c r="P580" s="116" t="s">
        <v>169</v>
      </c>
      <c r="Q580" s="117"/>
      <c r="R580" s="118"/>
      <c r="S580" s="117"/>
      <c r="T580" s="116"/>
    </row>
    <row r="581" spans="1:20" s="114" customFormat="1" ht="15">
      <c r="A581" s="12" t="s">
        <v>45</v>
      </c>
      <c r="B581" s="65">
        <v>42080.325694444444</v>
      </c>
      <c r="C581" s="14">
        <v>20.12</v>
      </c>
      <c r="D581" s="15">
        <v>1000</v>
      </c>
      <c r="E581" s="15">
        <f t="shared" si="111"/>
        <v>20131</v>
      </c>
      <c r="F581" s="13"/>
      <c r="G581" s="14">
        <v>33.78</v>
      </c>
      <c r="H581" s="15">
        <f t="shared" si="112"/>
        <v>33780</v>
      </c>
      <c r="I581" s="16">
        <f t="shared" si="113"/>
        <v>13649</v>
      </c>
      <c r="J581" s="19">
        <f t="shared" si="114"/>
        <v>0.6780090407828722</v>
      </c>
      <c r="K581" s="95" t="s">
        <v>186</v>
      </c>
      <c r="L581" s="119">
        <v>30.34</v>
      </c>
      <c r="M581" s="41">
        <f t="shared" si="115"/>
        <v>18.7116</v>
      </c>
      <c r="N581" s="118">
        <v>32</v>
      </c>
      <c r="O581" s="121">
        <v>42159</v>
      </c>
      <c r="P581" s="116" t="s">
        <v>45</v>
      </c>
      <c r="Q581" s="117">
        <v>35.48</v>
      </c>
      <c r="R581" s="118">
        <f>Q581*0.855</f>
        <v>30.335399999999996</v>
      </c>
      <c r="S581" s="117">
        <f>1.11*C581</f>
        <v>22.3332</v>
      </c>
      <c r="T581" s="116"/>
    </row>
    <row r="582" spans="1:20" s="114" customFormat="1" ht="15">
      <c r="A582" s="12" t="s">
        <v>45</v>
      </c>
      <c r="B582" s="65">
        <v>42081.30972222222</v>
      </c>
      <c r="C582" s="14">
        <v>21.46</v>
      </c>
      <c r="D582" s="15">
        <v>500</v>
      </c>
      <c r="E582" s="15">
        <f t="shared" si="111"/>
        <v>10741</v>
      </c>
      <c r="F582" s="13"/>
      <c r="G582" s="14">
        <v>33.78</v>
      </c>
      <c r="H582" s="15">
        <f t="shared" si="112"/>
        <v>16890</v>
      </c>
      <c r="I582" s="16">
        <f t="shared" si="113"/>
        <v>6149</v>
      </c>
      <c r="J582" s="19">
        <f t="shared" si="114"/>
        <v>0.5724792849827762</v>
      </c>
      <c r="K582" s="95" t="s">
        <v>198</v>
      </c>
      <c r="L582" s="119">
        <v>30.34</v>
      </c>
      <c r="M582" s="41">
        <f t="shared" si="115"/>
        <v>19.957800000000002</v>
      </c>
      <c r="N582" s="118">
        <v>32</v>
      </c>
      <c r="O582" s="116"/>
      <c r="P582" s="116" t="s">
        <v>45</v>
      </c>
      <c r="Q582" s="117"/>
      <c r="R582" s="118"/>
      <c r="S582" s="117"/>
      <c r="T582" s="116"/>
    </row>
    <row r="583" spans="1:20" s="114" customFormat="1" ht="15">
      <c r="A583" s="12" t="s">
        <v>45</v>
      </c>
      <c r="B583" s="65">
        <v>42082.32986111111</v>
      </c>
      <c r="C583" s="14">
        <v>23.1</v>
      </c>
      <c r="D583" s="15">
        <v>780</v>
      </c>
      <c r="E583" s="15">
        <f t="shared" si="111"/>
        <v>18029</v>
      </c>
      <c r="F583" s="13"/>
      <c r="G583" s="14">
        <v>33.78</v>
      </c>
      <c r="H583" s="15">
        <f t="shared" si="112"/>
        <v>26348.4</v>
      </c>
      <c r="I583" s="16">
        <f t="shared" si="113"/>
        <v>8319.400000000001</v>
      </c>
      <c r="J583" s="19">
        <f t="shared" si="114"/>
        <v>0.4614454489988353</v>
      </c>
      <c r="K583" s="95" t="s">
        <v>188</v>
      </c>
      <c r="L583" s="119">
        <v>30.34</v>
      </c>
      <c r="M583" s="41">
        <f t="shared" si="115"/>
        <v>21.483000000000004</v>
      </c>
      <c r="N583" s="118">
        <v>32</v>
      </c>
      <c r="O583" s="116"/>
      <c r="P583" s="116" t="s">
        <v>45</v>
      </c>
      <c r="Q583" s="117"/>
      <c r="R583" s="118"/>
      <c r="S583" s="117"/>
      <c r="T583" s="116"/>
    </row>
    <row r="584" spans="1:20" s="114" customFormat="1" ht="15">
      <c r="A584" s="12" t="s">
        <v>45</v>
      </c>
      <c r="B584" s="65">
        <v>42090.27291666667</v>
      </c>
      <c r="C584" s="14">
        <v>23.65</v>
      </c>
      <c r="D584" s="15">
        <v>510</v>
      </c>
      <c r="E584" s="15">
        <f t="shared" si="111"/>
        <v>12072.5</v>
      </c>
      <c r="F584" s="13"/>
      <c r="G584" s="14">
        <v>33.78</v>
      </c>
      <c r="H584" s="15">
        <f t="shared" si="112"/>
        <v>17227.8</v>
      </c>
      <c r="I584" s="16">
        <f t="shared" si="113"/>
        <v>5155.299999999999</v>
      </c>
      <c r="J584" s="19">
        <f t="shared" si="114"/>
        <v>0.42702837026299434</v>
      </c>
      <c r="K584" s="95" t="s">
        <v>199</v>
      </c>
      <c r="L584" s="119">
        <v>30.34</v>
      </c>
      <c r="M584" s="41">
        <f t="shared" si="115"/>
        <v>21.9945</v>
      </c>
      <c r="N584" s="118">
        <v>32</v>
      </c>
      <c r="O584" s="116"/>
      <c r="P584" s="116" t="s">
        <v>45</v>
      </c>
      <c r="Q584" s="117"/>
      <c r="R584" s="118"/>
      <c r="S584" s="117"/>
      <c r="T584" s="116"/>
    </row>
    <row r="585" spans="1:20" s="114" customFormat="1" ht="15">
      <c r="A585" s="12" t="s">
        <v>45</v>
      </c>
      <c r="B585" s="65">
        <v>42102.27916666667</v>
      </c>
      <c r="C585" s="14">
        <v>26.2</v>
      </c>
      <c r="D585" s="15">
        <v>560</v>
      </c>
      <c r="E585" s="15">
        <f t="shared" si="111"/>
        <v>14683</v>
      </c>
      <c r="F585" s="13"/>
      <c r="G585" s="14">
        <v>33.78</v>
      </c>
      <c r="H585" s="15">
        <f t="shared" si="112"/>
        <v>18916.8</v>
      </c>
      <c r="I585" s="16">
        <f t="shared" si="113"/>
        <v>4233.799999999999</v>
      </c>
      <c r="J585" s="19">
        <f t="shared" si="114"/>
        <v>0.28834706803786686</v>
      </c>
      <c r="K585" s="95" t="s">
        <v>218</v>
      </c>
      <c r="L585" s="119">
        <v>30.34</v>
      </c>
      <c r="M585" s="41">
        <f t="shared" si="115"/>
        <v>24.366</v>
      </c>
      <c r="N585" s="118">
        <v>32</v>
      </c>
      <c r="O585" s="116"/>
      <c r="P585" s="116" t="s">
        <v>45</v>
      </c>
      <c r="Q585" s="117"/>
      <c r="R585" s="118"/>
      <c r="S585" s="117"/>
      <c r="T585" s="116"/>
    </row>
    <row r="586" spans="1:20" s="114" customFormat="1" ht="15">
      <c r="A586" s="12" t="s">
        <v>45</v>
      </c>
      <c r="B586" s="65">
        <v>42109.40833333333</v>
      </c>
      <c r="C586" s="14">
        <v>29.02</v>
      </c>
      <c r="D586" s="15">
        <v>670</v>
      </c>
      <c r="E586" s="15">
        <f t="shared" si="111"/>
        <v>19454.4</v>
      </c>
      <c r="F586" s="13"/>
      <c r="G586" s="14">
        <v>33.78</v>
      </c>
      <c r="H586" s="15">
        <f t="shared" si="112"/>
        <v>22632.600000000002</v>
      </c>
      <c r="I586" s="16">
        <f t="shared" si="113"/>
        <v>3178.2000000000007</v>
      </c>
      <c r="J586" s="19">
        <f t="shared" si="114"/>
        <v>0.16336664199358503</v>
      </c>
      <c r="K586" s="95" t="s">
        <v>245</v>
      </c>
      <c r="L586" s="119">
        <v>30.34</v>
      </c>
      <c r="M586" s="41">
        <f t="shared" si="115"/>
        <v>26.9886</v>
      </c>
      <c r="N586" s="118">
        <v>32</v>
      </c>
      <c r="O586" s="116"/>
      <c r="P586" s="116" t="s">
        <v>45</v>
      </c>
      <c r="Q586" s="117"/>
      <c r="R586" s="118"/>
      <c r="S586" s="117"/>
      <c r="T586" s="116"/>
    </row>
    <row r="587" spans="1:20" s="114" customFormat="1" ht="15">
      <c r="A587" s="12" t="s">
        <v>45</v>
      </c>
      <c r="B587" s="65">
        <v>42115.27291666667</v>
      </c>
      <c r="C587" s="14">
        <v>31.27</v>
      </c>
      <c r="D587" s="15">
        <v>670</v>
      </c>
      <c r="E587" s="15">
        <f t="shared" si="111"/>
        <v>20961.9</v>
      </c>
      <c r="F587" s="13"/>
      <c r="G587" s="14">
        <v>33.78</v>
      </c>
      <c r="H587" s="15">
        <f t="shared" si="112"/>
        <v>22632.600000000002</v>
      </c>
      <c r="I587" s="16">
        <f t="shared" si="113"/>
        <v>1670.7000000000007</v>
      </c>
      <c r="J587" s="19">
        <f t="shared" si="114"/>
        <v>0.079701744593763</v>
      </c>
      <c r="K587" s="95" t="s">
        <v>235</v>
      </c>
      <c r="L587" s="119">
        <v>30.34</v>
      </c>
      <c r="M587" s="41">
        <f t="shared" si="115"/>
        <v>29.081100000000003</v>
      </c>
      <c r="N587" s="118">
        <v>32</v>
      </c>
      <c r="O587" s="116"/>
      <c r="P587" s="116" t="s">
        <v>45</v>
      </c>
      <c r="Q587" s="117"/>
      <c r="R587" s="118"/>
      <c r="S587" s="117"/>
      <c r="T587" s="116"/>
    </row>
    <row r="588" spans="1:20" s="114" customFormat="1" ht="15">
      <c r="A588" s="12" t="s">
        <v>208</v>
      </c>
      <c r="B588" s="65">
        <v>42090.308333333334</v>
      </c>
      <c r="C588" s="14">
        <v>214</v>
      </c>
      <c r="D588" s="15">
        <v>95</v>
      </c>
      <c r="E588" s="15">
        <f t="shared" si="111"/>
        <v>20341</v>
      </c>
      <c r="F588" s="13"/>
      <c r="G588" s="14">
        <v>222.04</v>
      </c>
      <c r="H588" s="15">
        <f t="shared" si="112"/>
        <v>21093.8</v>
      </c>
      <c r="I588" s="16">
        <f t="shared" si="113"/>
        <v>752.7999999999993</v>
      </c>
      <c r="J588" s="19">
        <f t="shared" si="114"/>
        <v>0.03700899660783635</v>
      </c>
      <c r="K588" s="95" t="s">
        <v>212</v>
      </c>
      <c r="L588" s="119"/>
      <c r="M588" s="20">
        <f t="shared" si="115"/>
        <v>199.02</v>
      </c>
      <c r="N588" s="118">
        <v>267.7</v>
      </c>
      <c r="O588" s="121">
        <v>42136</v>
      </c>
      <c r="P588" s="116" t="s">
        <v>208</v>
      </c>
      <c r="Q588" s="117">
        <v>230.7</v>
      </c>
      <c r="R588" s="118">
        <f>Q588*0.855</f>
        <v>197.24849999999998</v>
      </c>
      <c r="S588" s="117">
        <f>1.11*C588</f>
        <v>237.54000000000002</v>
      </c>
      <c r="T588" s="116"/>
    </row>
    <row r="589" spans="1:20" s="114" customFormat="1" ht="15">
      <c r="A589" s="12" t="s">
        <v>208</v>
      </c>
      <c r="B589" s="65">
        <v>42093.29305555556</v>
      </c>
      <c r="C589" s="14">
        <v>219.41</v>
      </c>
      <c r="D589" s="15">
        <v>55</v>
      </c>
      <c r="E589" s="15">
        <f t="shared" si="111"/>
        <v>12078.55</v>
      </c>
      <c r="F589" s="13"/>
      <c r="G589" s="14">
        <v>222.04</v>
      </c>
      <c r="H589" s="15">
        <f t="shared" si="112"/>
        <v>12212.199999999999</v>
      </c>
      <c r="I589" s="16">
        <f t="shared" si="113"/>
        <v>133.64999999999964</v>
      </c>
      <c r="J589" s="19">
        <f t="shared" si="114"/>
        <v>0.011065069896634914</v>
      </c>
      <c r="K589" s="95" t="s">
        <v>211</v>
      </c>
      <c r="L589" s="119"/>
      <c r="M589" s="20">
        <f t="shared" si="115"/>
        <v>204.0513</v>
      </c>
      <c r="N589" s="118">
        <v>267.7</v>
      </c>
      <c r="O589" s="116"/>
      <c r="P589" s="116" t="s">
        <v>208</v>
      </c>
      <c r="Q589" s="117"/>
      <c r="R589" s="118"/>
      <c r="S589" s="117"/>
      <c r="T589" s="116"/>
    </row>
    <row r="590" spans="1:20" s="114" customFormat="1" ht="15">
      <c r="A590" s="12" t="s">
        <v>208</v>
      </c>
      <c r="B590" s="65">
        <v>42117.27569444444</v>
      </c>
      <c r="C590" s="14">
        <v>226.35</v>
      </c>
      <c r="D590" s="15">
        <v>35</v>
      </c>
      <c r="E590" s="15">
        <f t="shared" si="111"/>
        <v>7933.25</v>
      </c>
      <c r="F590" s="13"/>
      <c r="G590" s="14">
        <v>222.04</v>
      </c>
      <c r="H590" s="15">
        <f t="shared" si="112"/>
        <v>7771.4</v>
      </c>
      <c r="I590" s="16">
        <f t="shared" si="113"/>
        <v>-161.85000000000036</v>
      </c>
      <c r="J590" s="19">
        <f t="shared" si="114"/>
        <v>-0.020401474805407667</v>
      </c>
      <c r="K590" s="95" t="s">
        <v>236</v>
      </c>
      <c r="L590" s="119"/>
      <c r="M590" s="20">
        <f t="shared" si="115"/>
        <v>210.5055</v>
      </c>
      <c r="N590" s="118">
        <v>267.7</v>
      </c>
      <c r="O590" s="116"/>
      <c r="P590" s="116" t="s">
        <v>208</v>
      </c>
      <c r="Q590" s="117"/>
      <c r="R590" s="118"/>
      <c r="S590" s="117"/>
      <c r="T590" s="116"/>
    </row>
    <row r="591" spans="1:20" s="114" customFormat="1" ht="15">
      <c r="A591" s="12" t="s">
        <v>49</v>
      </c>
      <c r="B591" s="65">
        <v>42117.345138888886</v>
      </c>
      <c r="C591" s="14">
        <v>117.5</v>
      </c>
      <c r="D591" s="15">
        <v>215</v>
      </c>
      <c r="E591" s="15">
        <f t="shared" si="111"/>
        <v>25273.5</v>
      </c>
      <c r="F591" s="13"/>
      <c r="G591" s="14">
        <v>126.39</v>
      </c>
      <c r="H591" s="15">
        <f t="shared" si="112"/>
        <v>27173.85</v>
      </c>
      <c r="I591" s="16">
        <f t="shared" si="113"/>
        <v>1900.3499999999985</v>
      </c>
      <c r="J591" s="19">
        <f t="shared" si="114"/>
        <v>0.07519140601816125</v>
      </c>
      <c r="K591" s="95" t="s">
        <v>230</v>
      </c>
      <c r="L591" s="119"/>
      <c r="M591" s="20">
        <f t="shared" si="115"/>
        <v>109.275</v>
      </c>
      <c r="N591" s="118">
        <v>148.09</v>
      </c>
      <c r="O591" s="121">
        <v>42159</v>
      </c>
      <c r="P591" s="116" t="s">
        <v>49</v>
      </c>
      <c r="Q591" s="117"/>
      <c r="R591" s="118"/>
      <c r="S591" s="117">
        <f>1.11*C591</f>
        <v>130.425</v>
      </c>
      <c r="T591" s="116"/>
    </row>
    <row r="592" spans="1:20" s="114" customFormat="1" ht="15">
      <c r="A592" s="12" t="s">
        <v>49</v>
      </c>
      <c r="B592" s="65">
        <v>42118.274305555555</v>
      </c>
      <c r="C592" s="14">
        <v>119.93</v>
      </c>
      <c r="D592" s="15">
        <v>125</v>
      </c>
      <c r="E592" s="15">
        <f t="shared" si="111"/>
        <v>15002.25</v>
      </c>
      <c r="F592" s="13"/>
      <c r="G592" s="14">
        <v>126.39</v>
      </c>
      <c r="H592" s="15">
        <f t="shared" si="112"/>
        <v>15798.75</v>
      </c>
      <c r="I592" s="16">
        <f t="shared" si="113"/>
        <v>796.5</v>
      </c>
      <c r="J592" s="19">
        <f t="shared" si="114"/>
        <v>0.05309203619457081</v>
      </c>
      <c r="K592" s="95" t="s">
        <v>231</v>
      </c>
      <c r="L592" s="119"/>
      <c r="M592" s="20">
        <f t="shared" si="115"/>
        <v>111.53490000000001</v>
      </c>
      <c r="N592" s="118">
        <v>148.09</v>
      </c>
      <c r="O592" s="116"/>
      <c r="P592" s="116" t="s">
        <v>49</v>
      </c>
      <c r="Q592" s="117"/>
      <c r="R592" s="118"/>
      <c r="S592" s="117"/>
      <c r="T592" s="116"/>
    </row>
    <row r="593" spans="1:20" s="114" customFormat="1" ht="15">
      <c r="A593" s="12" t="s">
        <v>49</v>
      </c>
      <c r="B593" s="65">
        <v>42118.285416666666</v>
      </c>
      <c r="C593" s="14">
        <v>122.62</v>
      </c>
      <c r="D593" s="15">
        <v>80</v>
      </c>
      <c r="E593" s="15">
        <f t="shared" si="111"/>
        <v>9820.6</v>
      </c>
      <c r="F593" s="13"/>
      <c r="G593" s="14">
        <v>126.39</v>
      </c>
      <c r="H593" s="15">
        <f t="shared" si="112"/>
        <v>10111.2</v>
      </c>
      <c r="I593" s="16">
        <f t="shared" si="113"/>
        <v>290.60000000000036</v>
      </c>
      <c r="J593" s="19">
        <f t="shared" si="114"/>
        <v>0.02959086002891884</v>
      </c>
      <c r="K593" s="95" t="s">
        <v>232</v>
      </c>
      <c r="L593" s="119"/>
      <c r="M593" s="20">
        <f t="shared" si="115"/>
        <v>114.0366</v>
      </c>
      <c r="N593" s="118">
        <v>148.09</v>
      </c>
      <c r="O593" s="116"/>
      <c r="P593" s="116" t="s">
        <v>49</v>
      </c>
      <c r="Q593" s="117"/>
      <c r="R593" s="118"/>
      <c r="S593" s="117"/>
      <c r="T593" s="116"/>
    </row>
    <row r="594" spans="1:20" s="114" customFormat="1" ht="15">
      <c r="A594" s="12"/>
      <c r="B594" s="13"/>
      <c r="C594" s="14"/>
      <c r="D594" s="15"/>
      <c r="E594" s="15"/>
      <c r="F594" s="13"/>
      <c r="G594" s="14"/>
      <c r="H594" s="15"/>
      <c r="I594" s="16"/>
      <c r="J594" s="19"/>
      <c r="K594" s="95"/>
      <c r="L594" s="119"/>
      <c r="M594" s="32"/>
      <c r="N594" s="118"/>
      <c r="Q594" s="117"/>
      <c r="R594" s="117"/>
      <c r="S594" s="117"/>
      <c r="T594" s="116"/>
    </row>
    <row r="595" spans="1:20" s="114" customFormat="1" ht="15">
      <c r="A595" s="21" t="s">
        <v>14</v>
      </c>
      <c r="B595" s="22"/>
      <c r="C595" s="23"/>
      <c r="D595" s="24"/>
      <c r="E595" s="24">
        <f>SUM(E558:E594)</f>
        <v>416810.85000000003</v>
      </c>
      <c r="F595" s="22"/>
      <c r="G595" s="23"/>
      <c r="H595" s="24">
        <f>SUM(H558:H594)</f>
        <v>502884.3</v>
      </c>
      <c r="I595" s="25">
        <f>SUM(I558:I594)</f>
        <v>86073.44999999998</v>
      </c>
      <c r="J595" s="26">
        <f>I595/E595</f>
        <v>0.20650482107171628</v>
      </c>
      <c r="K595" s="27" t="s">
        <v>15</v>
      </c>
      <c r="L595" s="28">
        <f>100000+I597</f>
        <v>221954.61</v>
      </c>
      <c r="M595" s="81"/>
      <c r="N595" s="89"/>
      <c r="Q595" s="117"/>
      <c r="R595" s="117"/>
      <c r="S595" s="117"/>
      <c r="T595" s="116"/>
    </row>
    <row r="596" spans="1:20" s="114" customFormat="1" ht="15">
      <c r="A596" s="12" t="s">
        <v>67</v>
      </c>
      <c r="B596" s="22"/>
      <c r="C596" s="25">
        <f>I597-I553</f>
        <v>3533.5</v>
      </c>
      <c r="D596" s="26">
        <f>C596/H551</f>
        <v>0.007076187722138425</v>
      </c>
      <c r="E596" s="24"/>
      <c r="F596" s="22" t="s">
        <v>16</v>
      </c>
      <c r="G596" s="117"/>
      <c r="H596" s="29" t="str">
        <f>IF(ABS(H595-E595-I595)&lt;1,"","ERROR")</f>
        <v/>
      </c>
      <c r="I596" s="30">
        <v>35881.159999999996</v>
      </c>
      <c r="J596" s="26"/>
      <c r="K596" s="111" t="s">
        <v>17</v>
      </c>
      <c r="L596" s="28">
        <f>(2*(100000+I597))-E595</f>
        <v>27098.369999999937</v>
      </c>
      <c r="M596" s="31"/>
      <c r="Q596" s="117"/>
      <c r="R596" s="117"/>
      <c r="S596" s="117"/>
      <c r="T596" s="116"/>
    </row>
    <row r="597" spans="1:20" s="114" customFormat="1" ht="15">
      <c r="A597" s="12" t="s">
        <v>54</v>
      </c>
      <c r="B597" s="22"/>
      <c r="C597" s="25">
        <f>L595-L551</f>
        <v>3533.5</v>
      </c>
      <c r="D597" s="26">
        <f>C597/L551</f>
        <v>0.01617746563049698</v>
      </c>
      <c r="E597" s="24"/>
      <c r="F597" s="22" t="s">
        <v>18</v>
      </c>
      <c r="G597" s="117"/>
      <c r="H597" s="29"/>
      <c r="I597" s="30">
        <f>I595+I596</f>
        <v>121954.60999999999</v>
      </c>
      <c r="J597" s="26">
        <f>I597/100000</f>
        <v>1.2195460999999999</v>
      </c>
      <c r="K597" s="111" t="s">
        <v>19</v>
      </c>
      <c r="L597" s="26">
        <f>E595/(2*(100000+I597))</f>
        <v>0.9389551539389068</v>
      </c>
      <c r="M597" s="31"/>
      <c r="Q597" s="117"/>
      <c r="R597" s="117"/>
      <c r="S597" s="117"/>
      <c r="T597" s="116"/>
    </row>
    <row r="598" spans="1:20" s="114" customFormat="1" ht="15">
      <c r="A598" s="12"/>
      <c r="B598" s="22"/>
      <c r="C598" s="25"/>
      <c r="D598" s="26"/>
      <c r="E598" s="24"/>
      <c r="F598" s="22"/>
      <c r="G598" s="117"/>
      <c r="H598" s="29"/>
      <c r="I598" s="30"/>
      <c r="J598" s="26"/>
      <c r="K598" s="111"/>
      <c r="L598" s="26"/>
      <c r="M598" s="31"/>
      <c r="Q598" s="117"/>
      <c r="R598" s="117"/>
      <c r="S598" s="117"/>
      <c r="T598" s="116"/>
    </row>
    <row r="599" spans="2:20" s="114" customFormat="1" ht="15">
      <c r="B599" s="22"/>
      <c r="C599" s="25"/>
      <c r="D599" s="26"/>
      <c r="E599" s="24"/>
      <c r="F599" s="22"/>
      <c r="G599" s="117"/>
      <c r="H599" s="29"/>
      <c r="I599" s="30"/>
      <c r="J599" s="26"/>
      <c r="K599" s="111"/>
      <c r="L599" s="26"/>
      <c r="M599" s="31"/>
      <c r="Q599" s="117"/>
      <c r="R599" s="117"/>
      <c r="S599" s="117"/>
      <c r="T599" s="116"/>
    </row>
    <row r="600" spans="1:20" s="114" customFormat="1" ht="30.75" customHeight="1">
      <c r="A600" s="138" t="s">
        <v>38</v>
      </c>
      <c r="B600" s="384" t="s">
        <v>238</v>
      </c>
      <c r="C600" s="384"/>
      <c r="D600" s="384"/>
      <c r="E600" s="384"/>
      <c r="F600" s="384"/>
      <c r="G600" s="384"/>
      <c r="H600" s="384"/>
      <c r="I600" s="384"/>
      <c r="J600" s="384"/>
      <c r="K600" s="384"/>
      <c r="L600" s="384"/>
      <c r="M600" s="384"/>
      <c r="N600" s="384"/>
      <c r="O600" s="92"/>
      <c r="P600" s="92"/>
      <c r="Q600" s="104"/>
      <c r="R600" s="104"/>
      <c r="S600" s="107"/>
      <c r="T600" s="109"/>
    </row>
    <row r="601" spans="1:22" s="114" customFormat="1" ht="15">
      <c r="A601" s="2" t="s">
        <v>0</v>
      </c>
      <c r="B601" s="3" t="s">
        <v>1</v>
      </c>
      <c r="C601" s="4" t="s">
        <v>2</v>
      </c>
      <c r="D601" s="5" t="s">
        <v>3</v>
      </c>
      <c r="E601" s="6" t="s">
        <v>4</v>
      </c>
      <c r="F601" s="3" t="s">
        <v>5</v>
      </c>
      <c r="G601" s="7" t="s">
        <v>2</v>
      </c>
      <c r="H601" s="6" t="s">
        <v>6</v>
      </c>
      <c r="I601" s="6" t="s">
        <v>7</v>
      </c>
      <c r="J601" s="8" t="s">
        <v>8</v>
      </c>
      <c r="K601" s="9" t="s">
        <v>9</v>
      </c>
      <c r="L601" s="10" t="s">
        <v>10</v>
      </c>
      <c r="M601" s="11" t="s">
        <v>11</v>
      </c>
      <c r="N601" s="103" t="s">
        <v>53</v>
      </c>
      <c r="O601" s="105" t="s">
        <v>110</v>
      </c>
      <c r="P601" s="106" t="s">
        <v>0</v>
      </c>
      <c r="Q601" s="117" t="s">
        <v>13</v>
      </c>
      <c r="R601" s="117" t="s">
        <v>70</v>
      </c>
      <c r="S601" s="111" t="s">
        <v>103</v>
      </c>
      <c r="T601" s="116" t="s">
        <v>107</v>
      </c>
      <c r="V601" s="9"/>
    </row>
    <row r="602" spans="1:22" s="114" customFormat="1" ht="15">
      <c r="A602" s="12" t="s">
        <v>80</v>
      </c>
      <c r="B602" s="65">
        <v>42011.30486111111</v>
      </c>
      <c r="C602" s="14">
        <v>58.02</v>
      </c>
      <c r="D602" s="15">
        <v>250</v>
      </c>
      <c r="E602" s="15">
        <f aca="true" t="shared" si="116" ref="E602:E638">C602*D602+11</f>
        <v>14516</v>
      </c>
      <c r="F602" s="13"/>
      <c r="G602" s="14">
        <v>99.29</v>
      </c>
      <c r="H602" s="15">
        <f aca="true" t="shared" si="117" ref="H602:H638">G602*D602</f>
        <v>24822.5</v>
      </c>
      <c r="I602" s="16">
        <f aca="true" t="shared" si="118" ref="I602:I638">H602-E602</f>
        <v>10306.5</v>
      </c>
      <c r="J602" s="19">
        <f aca="true" t="shared" si="119" ref="J602:J638">I602/E602</f>
        <v>0.7100096445301736</v>
      </c>
      <c r="K602" s="141" t="s">
        <v>239</v>
      </c>
      <c r="L602" s="140" t="s">
        <v>51</v>
      </c>
      <c r="M602" s="41">
        <f aca="true" t="shared" si="120" ref="M602:M638">C602*0.93</f>
        <v>53.958600000000004</v>
      </c>
      <c r="N602" s="118">
        <v>76.6</v>
      </c>
      <c r="O602" s="121">
        <v>42090</v>
      </c>
      <c r="P602" s="116" t="s">
        <v>80</v>
      </c>
      <c r="Q602" s="117">
        <v>100.48</v>
      </c>
      <c r="R602" s="118">
        <f>Q602*0.855</f>
        <v>85.9104</v>
      </c>
      <c r="S602" s="117">
        <f>1.11*C602</f>
        <v>64.40220000000001</v>
      </c>
      <c r="T602" s="116"/>
      <c r="V602" s="131"/>
    </row>
    <row r="603" spans="1:22" s="114" customFormat="1" ht="15">
      <c r="A603" s="12" t="s">
        <v>80</v>
      </c>
      <c r="B603" s="65">
        <v>42011.40694444445</v>
      </c>
      <c r="C603" s="14">
        <v>59.16</v>
      </c>
      <c r="D603" s="15">
        <v>150</v>
      </c>
      <c r="E603" s="15">
        <f t="shared" si="116"/>
        <v>8885</v>
      </c>
      <c r="F603" s="13"/>
      <c r="G603" s="14">
        <v>99.29</v>
      </c>
      <c r="H603" s="15">
        <f t="shared" si="117"/>
        <v>14893.500000000002</v>
      </c>
      <c r="I603" s="16">
        <f t="shared" si="118"/>
        <v>6008.500000000002</v>
      </c>
      <c r="J603" s="122">
        <f t="shared" si="119"/>
        <v>0.6762521102982557</v>
      </c>
      <c r="K603" s="95" t="s">
        <v>82</v>
      </c>
      <c r="L603" s="140" t="s">
        <v>51</v>
      </c>
      <c r="M603" s="41">
        <f t="shared" si="120"/>
        <v>55.0188</v>
      </c>
      <c r="N603" s="118">
        <v>77.93</v>
      </c>
      <c r="O603" s="116"/>
      <c r="P603" s="116" t="s">
        <v>80</v>
      </c>
      <c r="Q603" s="117"/>
      <c r="R603" s="118"/>
      <c r="S603" s="117"/>
      <c r="T603" s="116"/>
      <c r="V603" s="131"/>
    </row>
    <row r="604" spans="1:22" s="114" customFormat="1" ht="15">
      <c r="A604" s="12" t="s">
        <v>80</v>
      </c>
      <c r="B604" s="65">
        <v>42012.29305555556</v>
      </c>
      <c r="C604" s="14">
        <v>60.3</v>
      </c>
      <c r="D604" s="15">
        <v>100</v>
      </c>
      <c r="E604" s="15">
        <f t="shared" si="116"/>
        <v>6041</v>
      </c>
      <c r="F604" s="13"/>
      <c r="G604" s="14">
        <v>99.29</v>
      </c>
      <c r="H604" s="15">
        <f t="shared" si="117"/>
        <v>9929</v>
      </c>
      <c r="I604" s="16">
        <f t="shared" si="118"/>
        <v>3888</v>
      </c>
      <c r="J604" s="19">
        <f t="shared" si="119"/>
        <v>0.6436020526402914</v>
      </c>
      <c r="K604" s="95" t="s">
        <v>83</v>
      </c>
      <c r="L604" s="140" t="s">
        <v>51</v>
      </c>
      <c r="M604" s="41">
        <f t="shared" si="120"/>
        <v>56.079</v>
      </c>
      <c r="N604" s="118">
        <v>77.93</v>
      </c>
      <c r="O604" s="116"/>
      <c r="P604" s="116" t="s">
        <v>80</v>
      </c>
      <c r="Q604" s="117"/>
      <c r="R604" s="118"/>
      <c r="S604" s="117"/>
      <c r="T604" s="116"/>
      <c r="V604" s="131"/>
    </row>
    <row r="605" spans="1:22" s="114" customFormat="1" ht="15">
      <c r="A605" s="12" t="s">
        <v>80</v>
      </c>
      <c r="B605" s="65">
        <v>42047.271527777775</v>
      </c>
      <c r="C605" s="14">
        <v>64.65</v>
      </c>
      <c r="D605" s="15">
        <v>100</v>
      </c>
      <c r="E605" s="15">
        <f t="shared" si="116"/>
        <v>6476.000000000001</v>
      </c>
      <c r="F605" s="13"/>
      <c r="G605" s="14">
        <v>99.29</v>
      </c>
      <c r="H605" s="15">
        <f t="shared" si="117"/>
        <v>9929</v>
      </c>
      <c r="I605" s="16">
        <f t="shared" si="118"/>
        <v>3452.999999999999</v>
      </c>
      <c r="J605" s="19">
        <f t="shared" si="119"/>
        <v>0.5331995058678194</v>
      </c>
      <c r="K605" s="95" t="s">
        <v>132</v>
      </c>
      <c r="L605" s="140" t="s">
        <v>51</v>
      </c>
      <c r="M605" s="41">
        <f t="shared" si="120"/>
        <v>60.12450000000001</v>
      </c>
      <c r="N605" s="118">
        <v>77.93</v>
      </c>
      <c r="O605" s="116"/>
      <c r="P605" s="116" t="s">
        <v>80</v>
      </c>
      <c r="Q605" s="117"/>
      <c r="R605" s="118"/>
      <c r="S605" s="117"/>
      <c r="T605" s="116"/>
      <c r="V605" s="131"/>
    </row>
    <row r="606" spans="1:22" s="114" customFormat="1" ht="15">
      <c r="A606" s="12" t="s">
        <v>80</v>
      </c>
      <c r="B606" s="65">
        <v>42081.34097222222</v>
      </c>
      <c r="C606" s="14">
        <v>70</v>
      </c>
      <c r="D606" s="15">
        <v>120</v>
      </c>
      <c r="E606" s="15">
        <f t="shared" si="116"/>
        <v>8411</v>
      </c>
      <c r="F606" s="13"/>
      <c r="G606" s="14">
        <v>99.29</v>
      </c>
      <c r="H606" s="15">
        <f t="shared" si="117"/>
        <v>11914.800000000001</v>
      </c>
      <c r="I606" s="16">
        <f t="shared" si="118"/>
        <v>3503.800000000001</v>
      </c>
      <c r="J606" s="19">
        <f t="shared" si="119"/>
        <v>0.4165735346569969</v>
      </c>
      <c r="K606" s="95" t="s">
        <v>181</v>
      </c>
      <c r="L606" s="140" t="s">
        <v>51</v>
      </c>
      <c r="M606" s="41">
        <f t="shared" si="120"/>
        <v>65.10000000000001</v>
      </c>
      <c r="N606" s="118">
        <v>77.93</v>
      </c>
      <c r="O606" s="116"/>
      <c r="P606" s="116" t="s">
        <v>80</v>
      </c>
      <c r="Q606" s="117"/>
      <c r="R606" s="118"/>
      <c r="S606" s="117"/>
      <c r="T606" s="116"/>
      <c r="V606" s="131"/>
    </row>
    <row r="607" spans="1:22" s="114" customFormat="1" ht="15">
      <c r="A607" s="12" t="s">
        <v>80</v>
      </c>
      <c r="B607" s="65">
        <v>42117.55694444444</v>
      </c>
      <c r="C607" s="14">
        <v>77.75</v>
      </c>
      <c r="D607" s="15">
        <v>150</v>
      </c>
      <c r="E607" s="15">
        <f t="shared" si="116"/>
        <v>11673.5</v>
      </c>
      <c r="F607" s="13"/>
      <c r="G607" s="14">
        <v>99.29</v>
      </c>
      <c r="H607" s="15">
        <f t="shared" si="117"/>
        <v>14893.500000000002</v>
      </c>
      <c r="I607" s="16">
        <f t="shared" si="118"/>
        <v>3220.000000000002</v>
      </c>
      <c r="J607" s="19">
        <f t="shared" si="119"/>
        <v>0.27583843748661513</v>
      </c>
      <c r="K607" s="95" t="s">
        <v>233</v>
      </c>
      <c r="L607" s="140" t="s">
        <v>51</v>
      </c>
      <c r="M607" s="41">
        <f t="shared" si="120"/>
        <v>72.3075</v>
      </c>
      <c r="N607" s="118">
        <v>77.93</v>
      </c>
      <c r="O607" s="116"/>
      <c r="P607" s="116" t="s">
        <v>80</v>
      </c>
      <c r="Q607" s="117"/>
      <c r="R607" s="118"/>
      <c r="S607" s="117"/>
      <c r="T607" s="116"/>
      <c r="V607" s="131"/>
    </row>
    <row r="608" spans="1:22" s="114" customFormat="1" ht="15">
      <c r="A608" s="85" t="s">
        <v>80</v>
      </c>
      <c r="B608" s="65">
        <v>42128.525</v>
      </c>
      <c r="C608" s="14">
        <v>93.09</v>
      </c>
      <c r="D608" s="15">
        <v>180</v>
      </c>
      <c r="E608" s="15">
        <f t="shared" si="116"/>
        <v>16767.2</v>
      </c>
      <c r="F608" s="13"/>
      <c r="G608" s="14">
        <v>99.29</v>
      </c>
      <c r="H608" s="15">
        <f t="shared" si="117"/>
        <v>17872.2</v>
      </c>
      <c r="I608" s="16">
        <f t="shared" si="118"/>
        <v>1105</v>
      </c>
      <c r="J608" s="19">
        <f t="shared" si="119"/>
        <v>0.06590247626318049</v>
      </c>
      <c r="K608" s="95" t="s">
        <v>244</v>
      </c>
      <c r="L608" s="97"/>
      <c r="M608" s="20">
        <f t="shared" si="120"/>
        <v>86.5737</v>
      </c>
      <c r="N608" s="118">
        <v>77.93</v>
      </c>
      <c r="O608" s="116"/>
      <c r="P608" s="116" t="s">
        <v>80</v>
      </c>
      <c r="Q608" s="117"/>
      <c r="R608" s="118"/>
      <c r="S608" s="117"/>
      <c r="T608" s="116"/>
      <c r="V608" s="131"/>
    </row>
    <row r="609" spans="1:20" s="114" customFormat="1" ht="15">
      <c r="A609" s="12" t="s">
        <v>61</v>
      </c>
      <c r="B609" s="65">
        <v>42040.27847222222</v>
      </c>
      <c r="C609" s="14">
        <v>132.85</v>
      </c>
      <c r="D609" s="15">
        <v>110</v>
      </c>
      <c r="E609" s="15">
        <f t="shared" si="116"/>
        <v>14624.5</v>
      </c>
      <c r="F609" s="65"/>
      <c r="G609" s="14">
        <v>154.29</v>
      </c>
      <c r="H609" s="15">
        <f t="shared" si="117"/>
        <v>16971.899999999998</v>
      </c>
      <c r="I609" s="16">
        <f t="shared" si="118"/>
        <v>2347.399999999998</v>
      </c>
      <c r="J609" s="19">
        <f t="shared" si="119"/>
        <v>0.16051147047762301</v>
      </c>
      <c r="K609" s="95" t="s">
        <v>134</v>
      </c>
      <c r="L609" s="119">
        <v>135.92</v>
      </c>
      <c r="M609" s="41">
        <f t="shared" si="120"/>
        <v>123.5505</v>
      </c>
      <c r="N609" s="118">
        <v>168.13</v>
      </c>
      <c r="O609" s="121">
        <v>42086</v>
      </c>
      <c r="P609" s="116" t="s">
        <v>61</v>
      </c>
      <c r="Q609" s="117">
        <v>158.97</v>
      </c>
      <c r="R609" s="118">
        <f>Q609*0.855</f>
        <v>135.91935</v>
      </c>
      <c r="S609" s="117">
        <f>1.11*C609</f>
        <v>147.4635</v>
      </c>
      <c r="T609" s="116"/>
    </row>
    <row r="610" spans="1:20" s="114" customFormat="1" ht="15">
      <c r="A610" s="12" t="s">
        <v>61</v>
      </c>
      <c r="B610" s="65">
        <v>42045.27291666667</v>
      </c>
      <c r="C610" s="14">
        <v>135.9</v>
      </c>
      <c r="D610" s="15">
        <v>65</v>
      </c>
      <c r="E610" s="15">
        <f t="shared" si="116"/>
        <v>8844.5</v>
      </c>
      <c r="F610" s="13"/>
      <c r="G610" s="14">
        <v>154.29</v>
      </c>
      <c r="H610" s="15">
        <f t="shared" si="117"/>
        <v>10028.85</v>
      </c>
      <c r="I610" s="16">
        <f t="shared" si="118"/>
        <v>1184.3500000000004</v>
      </c>
      <c r="J610" s="19">
        <f t="shared" si="119"/>
        <v>0.13390807846684386</v>
      </c>
      <c r="K610" s="95" t="s">
        <v>141</v>
      </c>
      <c r="L610" s="119">
        <v>135.92</v>
      </c>
      <c r="M610" s="41">
        <f t="shared" si="120"/>
        <v>126.38700000000001</v>
      </c>
      <c r="N610" s="118">
        <v>168.13</v>
      </c>
      <c r="O610" s="116"/>
      <c r="P610" s="116" t="s">
        <v>61</v>
      </c>
      <c r="Q610" s="117"/>
      <c r="R610" s="118"/>
      <c r="S610" s="117"/>
      <c r="T610" s="116"/>
    </row>
    <row r="611" spans="1:20" s="114" customFormat="1" ht="15">
      <c r="A611" s="12" t="s">
        <v>61</v>
      </c>
      <c r="B611" s="65">
        <v>42054.277083333334</v>
      </c>
      <c r="C611" s="14">
        <v>139.17</v>
      </c>
      <c r="D611" s="15">
        <v>40</v>
      </c>
      <c r="E611" s="15">
        <f t="shared" si="116"/>
        <v>5577.799999999999</v>
      </c>
      <c r="F611" s="13"/>
      <c r="G611" s="14">
        <v>154.29</v>
      </c>
      <c r="H611" s="15">
        <f t="shared" si="117"/>
        <v>6171.599999999999</v>
      </c>
      <c r="I611" s="16">
        <f t="shared" si="118"/>
        <v>593.8000000000002</v>
      </c>
      <c r="J611" s="19">
        <f t="shared" si="119"/>
        <v>0.1064577431962423</v>
      </c>
      <c r="K611" s="95" t="s">
        <v>140</v>
      </c>
      <c r="L611" s="119">
        <v>135.92</v>
      </c>
      <c r="M611" s="41">
        <f t="shared" si="120"/>
        <v>129.4281</v>
      </c>
      <c r="N611" s="118">
        <v>168.13</v>
      </c>
      <c r="O611" s="116"/>
      <c r="P611" s="116" t="s">
        <v>61</v>
      </c>
      <c r="Q611" s="117"/>
      <c r="R611" s="118"/>
      <c r="S611" s="117"/>
      <c r="T611" s="116"/>
    </row>
    <row r="612" spans="1:20" s="114" customFormat="1" ht="15">
      <c r="A612" s="12" t="s">
        <v>61</v>
      </c>
      <c r="B612" s="65">
        <v>42075.56458333333</v>
      </c>
      <c r="C612" s="14">
        <v>154</v>
      </c>
      <c r="D612" s="15">
        <v>40</v>
      </c>
      <c r="E612" s="15">
        <f t="shared" si="116"/>
        <v>6171</v>
      </c>
      <c r="F612" s="13"/>
      <c r="G612" s="14">
        <v>154.29</v>
      </c>
      <c r="H612" s="15">
        <f t="shared" si="117"/>
        <v>6171.599999999999</v>
      </c>
      <c r="I612" s="16">
        <f t="shared" si="118"/>
        <v>0.5999999999994543</v>
      </c>
      <c r="J612" s="19">
        <f t="shared" si="119"/>
        <v>9.72289742342334E-05</v>
      </c>
      <c r="K612" s="95" t="s">
        <v>160</v>
      </c>
      <c r="L612" s="119"/>
      <c r="M612" s="20">
        <f t="shared" si="120"/>
        <v>143.22</v>
      </c>
      <c r="N612" s="118">
        <v>168.13</v>
      </c>
      <c r="O612" s="116"/>
      <c r="P612" s="116" t="s">
        <v>61</v>
      </c>
      <c r="Q612" s="117"/>
      <c r="R612" s="118"/>
      <c r="S612" s="117"/>
      <c r="T612" s="116"/>
    </row>
    <row r="613" spans="1:20" s="114" customFormat="1" ht="15">
      <c r="A613" s="12" t="s">
        <v>61</v>
      </c>
      <c r="B613" s="65">
        <v>42109.27222222222</v>
      </c>
      <c r="C613" s="14">
        <v>156.13</v>
      </c>
      <c r="D613" s="15">
        <v>50</v>
      </c>
      <c r="E613" s="15">
        <f t="shared" si="116"/>
        <v>7817.5</v>
      </c>
      <c r="F613" s="13"/>
      <c r="G613" s="14">
        <v>154.29</v>
      </c>
      <c r="H613" s="15">
        <f t="shared" si="117"/>
        <v>7714.5</v>
      </c>
      <c r="I613" s="16">
        <f t="shared" si="118"/>
        <v>-103</v>
      </c>
      <c r="J613" s="19">
        <f t="shared" si="119"/>
        <v>-0.013175567636712505</v>
      </c>
      <c r="K613" s="95" t="s">
        <v>221</v>
      </c>
      <c r="L613" s="119"/>
      <c r="M613" s="20">
        <f t="shared" si="120"/>
        <v>145.2009</v>
      </c>
      <c r="N613" s="118">
        <v>168.13</v>
      </c>
      <c r="O613" s="116"/>
      <c r="P613" s="116" t="s">
        <v>61</v>
      </c>
      <c r="Q613" s="117"/>
      <c r="R613" s="118"/>
      <c r="S613" s="117"/>
      <c r="T613" s="116"/>
    </row>
    <row r="614" spans="1:20" s="114" customFormat="1" ht="15">
      <c r="A614" s="12" t="s">
        <v>52</v>
      </c>
      <c r="B614" s="65">
        <v>42046.27361111111</v>
      </c>
      <c r="C614" s="14">
        <v>129.75</v>
      </c>
      <c r="D614" s="15">
        <v>80</v>
      </c>
      <c r="E614" s="15">
        <f t="shared" si="116"/>
        <v>10391</v>
      </c>
      <c r="F614" s="65"/>
      <c r="G614" s="14">
        <v>151.1</v>
      </c>
      <c r="H614" s="15">
        <f t="shared" si="117"/>
        <v>12088</v>
      </c>
      <c r="I614" s="16">
        <f t="shared" si="118"/>
        <v>1697</v>
      </c>
      <c r="J614" s="19">
        <f t="shared" si="119"/>
        <v>0.16331440669810413</v>
      </c>
      <c r="K614" s="95" t="s">
        <v>135</v>
      </c>
      <c r="L614" s="119">
        <v>135.3</v>
      </c>
      <c r="M614" s="41">
        <f t="shared" si="120"/>
        <v>120.6675</v>
      </c>
      <c r="N614" s="118">
        <v>161.78</v>
      </c>
      <c r="O614" s="121">
        <f>WORKDAY(B614,40,'Weekly Summary'!P$2:P$10)</f>
        <v>42104</v>
      </c>
      <c r="P614" s="116" t="s">
        <v>52</v>
      </c>
      <c r="Q614" s="117">
        <v>158.24</v>
      </c>
      <c r="R614" s="118">
        <f>Q614*0.855</f>
        <v>135.2952</v>
      </c>
      <c r="S614" s="117">
        <f>1.11*C614</f>
        <v>144.0225</v>
      </c>
      <c r="T614" s="116"/>
    </row>
    <row r="615" spans="1:20" s="114" customFormat="1" ht="15">
      <c r="A615" s="12" t="s">
        <v>52</v>
      </c>
      <c r="B615" s="65">
        <v>42047.275</v>
      </c>
      <c r="C615" s="14">
        <v>133.95</v>
      </c>
      <c r="D615" s="15">
        <v>45</v>
      </c>
      <c r="E615" s="15">
        <f t="shared" si="116"/>
        <v>6038.749999999999</v>
      </c>
      <c r="F615" s="13"/>
      <c r="G615" s="14">
        <v>151.1</v>
      </c>
      <c r="H615" s="15">
        <f t="shared" si="117"/>
        <v>6799.5</v>
      </c>
      <c r="I615" s="16">
        <f t="shared" si="118"/>
        <v>760.7500000000009</v>
      </c>
      <c r="J615" s="19">
        <f t="shared" si="119"/>
        <v>0.12597805837300782</v>
      </c>
      <c r="K615" s="95" t="s">
        <v>136</v>
      </c>
      <c r="L615" s="119">
        <v>135.3</v>
      </c>
      <c r="M615" s="41">
        <f t="shared" si="120"/>
        <v>124.5735</v>
      </c>
      <c r="N615" s="118">
        <v>161.78</v>
      </c>
      <c r="O615" s="116"/>
      <c r="P615" s="116" t="s">
        <v>52</v>
      </c>
      <c r="Q615" s="117"/>
      <c r="R615" s="118"/>
      <c r="S615" s="117"/>
      <c r="T615" s="116"/>
    </row>
    <row r="616" spans="1:20" s="114" customFormat="1" ht="15">
      <c r="A616" s="12" t="s">
        <v>52</v>
      </c>
      <c r="B616" s="65">
        <v>42048.450694444444</v>
      </c>
      <c r="C616" s="14">
        <v>135.8</v>
      </c>
      <c r="D616" s="15">
        <v>30</v>
      </c>
      <c r="E616" s="15">
        <f t="shared" si="116"/>
        <v>4085.0000000000005</v>
      </c>
      <c r="F616" s="13"/>
      <c r="G616" s="14">
        <v>151.1</v>
      </c>
      <c r="H616" s="15">
        <f t="shared" si="117"/>
        <v>4533</v>
      </c>
      <c r="I616" s="16">
        <f t="shared" si="118"/>
        <v>447.99999999999955</v>
      </c>
      <c r="J616" s="19">
        <f t="shared" si="119"/>
        <v>0.10966952264381873</v>
      </c>
      <c r="K616" s="95" t="s">
        <v>143</v>
      </c>
      <c r="L616" s="119">
        <v>135.3</v>
      </c>
      <c r="M616" s="41">
        <f t="shared" si="120"/>
        <v>126.29400000000001</v>
      </c>
      <c r="N616" s="118">
        <v>161.78</v>
      </c>
      <c r="O616" s="116"/>
      <c r="P616" s="116" t="s">
        <v>52</v>
      </c>
      <c r="Q616" s="117"/>
      <c r="R616" s="118"/>
      <c r="S616" s="117"/>
      <c r="T616" s="116"/>
    </row>
    <row r="617" spans="1:20" s="114" customFormat="1" ht="15">
      <c r="A617" s="12" t="s">
        <v>52</v>
      </c>
      <c r="B617" s="65">
        <v>42074.29027777778</v>
      </c>
      <c r="C617" s="14">
        <v>140.55</v>
      </c>
      <c r="D617" s="15">
        <v>30</v>
      </c>
      <c r="E617" s="15">
        <f t="shared" si="116"/>
        <v>4227.5</v>
      </c>
      <c r="F617" s="13"/>
      <c r="G617" s="14">
        <v>151.1</v>
      </c>
      <c r="H617" s="15">
        <f t="shared" si="117"/>
        <v>4533</v>
      </c>
      <c r="I617" s="16">
        <f t="shared" si="118"/>
        <v>305.5</v>
      </c>
      <c r="J617" s="19">
        <f t="shared" si="119"/>
        <v>0.07226493199290361</v>
      </c>
      <c r="K617" s="95" t="s">
        <v>182</v>
      </c>
      <c r="L617" s="119">
        <v>135.3</v>
      </c>
      <c r="M617" s="41">
        <f t="shared" si="120"/>
        <v>130.71150000000003</v>
      </c>
      <c r="N617" s="118">
        <v>161.78</v>
      </c>
      <c r="O617" s="116"/>
      <c r="P617" s="116" t="s">
        <v>52</v>
      </c>
      <c r="Q617" s="117"/>
      <c r="R617" s="118"/>
      <c r="S617" s="117"/>
      <c r="T617" s="116"/>
    </row>
    <row r="618" spans="1:20" s="114" customFormat="1" ht="15">
      <c r="A618" s="12" t="s">
        <v>52</v>
      </c>
      <c r="B618" s="65">
        <v>42093.27638888889</v>
      </c>
      <c r="C618" s="14">
        <v>149.29</v>
      </c>
      <c r="D618" s="15">
        <v>40</v>
      </c>
      <c r="E618" s="15">
        <f t="shared" si="116"/>
        <v>5982.599999999999</v>
      </c>
      <c r="F618" s="13"/>
      <c r="G618" s="14">
        <v>151.1</v>
      </c>
      <c r="H618" s="15">
        <f t="shared" si="117"/>
        <v>6044</v>
      </c>
      <c r="I618" s="16">
        <f t="shared" si="118"/>
        <v>61.400000000000546</v>
      </c>
      <c r="J618" s="19">
        <f t="shared" si="119"/>
        <v>0.010263096312640082</v>
      </c>
      <c r="K618" s="95" t="s">
        <v>213</v>
      </c>
      <c r="L618" s="119"/>
      <c r="M618" s="20">
        <f t="shared" si="120"/>
        <v>138.8397</v>
      </c>
      <c r="N618" s="118">
        <v>161.78</v>
      </c>
      <c r="O618" s="116"/>
      <c r="P618" s="116" t="s">
        <v>52</v>
      </c>
      <c r="Q618" s="117"/>
      <c r="R618" s="118"/>
      <c r="S618" s="117"/>
      <c r="T618" s="116"/>
    </row>
    <row r="619" spans="1:20" s="114" customFormat="1" ht="15">
      <c r="A619" s="12" t="s">
        <v>39</v>
      </c>
      <c r="B619" s="65">
        <v>42062.53680555556</v>
      </c>
      <c r="C619" s="14">
        <v>57.65</v>
      </c>
      <c r="D619" s="15">
        <v>100</v>
      </c>
      <c r="E619" s="15">
        <f t="shared" si="116"/>
        <v>5776</v>
      </c>
      <c r="F619" s="13"/>
      <c r="G619" s="14">
        <v>72.07</v>
      </c>
      <c r="H619" s="15">
        <f t="shared" si="117"/>
        <v>7206.999999999999</v>
      </c>
      <c r="I619" s="16">
        <f t="shared" si="118"/>
        <v>1430.999999999999</v>
      </c>
      <c r="J619" s="19">
        <f t="shared" si="119"/>
        <v>0.24774930747922422</v>
      </c>
      <c r="K619" s="95" t="s">
        <v>149</v>
      </c>
      <c r="L619" s="119">
        <v>66.17</v>
      </c>
      <c r="M619" s="41">
        <f t="shared" si="120"/>
        <v>53.6145</v>
      </c>
      <c r="N619" s="118">
        <v>79</v>
      </c>
      <c r="O619" s="121">
        <v>42124</v>
      </c>
      <c r="P619" s="116" t="s">
        <v>39</v>
      </c>
      <c r="Q619" s="117">
        <v>77.39</v>
      </c>
      <c r="R619" s="118">
        <f>Q619*0.855</f>
        <v>66.16844999999999</v>
      </c>
      <c r="S619" s="117">
        <f>1.11*C619</f>
        <v>63.9915</v>
      </c>
      <c r="T619" s="116"/>
    </row>
    <row r="620" spans="1:20" s="114" customFormat="1" ht="15">
      <c r="A620" s="12" t="s">
        <v>39</v>
      </c>
      <c r="B620" s="65">
        <v>42073.322916666664</v>
      </c>
      <c r="C620" s="14">
        <v>65.15</v>
      </c>
      <c r="D620" s="15">
        <v>350</v>
      </c>
      <c r="E620" s="15">
        <f t="shared" si="116"/>
        <v>22813.500000000004</v>
      </c>
      <c r="F620" s="13"/>
      <c r="G620" s="14">
        <v>72.07</v>
      </c>
      <c r="H620" s="15">
        <f t="shared" si="117"/>
        <v>25224.499999999996</v>
      </c>
      <c r="I620" s="16">
        <f t="shared" si="118"/>
        <v>2410.9999999999927</v>
      </c>
      <c r="J620" s="19">
        <f t="shared" si="119"/>
        <v>0.10568303855173439</v>
      </c>
      <c r="K620" s="95" t="s">
        <v>164</v>
      </c>
      <c r="L620" s="119">
        <v>66.17</v>
      </c>
      <c r="M620" s="41">
        <f t="shared" si="120"/>
        <v>60.58950000000001</v>
      </c>
      <c r="N620" s="118">
        <v>79</v>
      </c>
      <c r="O620" s="116"/>
      <c r="P620" s="116" t="s">
        <v>39</v>
      </c>
      <c r="Q620" s="117"/>
      <c r="R620" s="118"/>
      <c r="S620" s="117"/>
      <c r="T620" s="116"/>
    </row>
    <row r="621" spans="1:20" s="114" customFormat="1" ht="15">
      <c r="A621" s="12" t="s">
        <v>39</v>
      </c>
      <c r="B621" s="65">
        <v>42073.35555555556</v>
      </c>
      <c r="C621" s="14">
        <v>66.15</v>
      </c>
      <c r="D621" s="15">
        <v>110</v>
      </c>
      <c r="E621" s="15">
        <f t="shared" si="116"/>
        <v>7287.500000000001</v>
      </c>
      <c r="F621" s="13"/>
      <c r="G621" s="14">
        <v>72.07</v>
      </c>
      <c r="H621" s="15">
        <f t="shared" si="117"/>
        <v>7927.699999999999</v>
      </c>
      <c r="I621" s="16">
        <f t="shared" si="118"/>
        <v>640.199999999998</v>
      </c>
      <c r="J621" s="19">
        <f t="shared" si="119"/>
        <v>0.0878490566037733</v>
      </c>
      <c r="K621" s="95" t="s">
        <v>165</v>
      </c>
      <c r="L621" s="119">
        <v>66.17</v>
      </c>
      <c r="M621" s="41">
        <f t="shared" si="120"/>
        <v>61.51950000000001</v>
      </c>
      <c r="N621" s="118">
        <v>79</v>
      </c>
      <c r="O621" s="116"/>
      <c r="P621" s="116" t="s">
        <v>39</v>
      </c>
      <c r="Q621" s="117"/>
      <c r="R621" s="118"/>
      <c r="S621" s="117"/>
      <c r="T621" s="116"/>
    </row>
    <row r="622" spans="1:20" s="114" customFormat="1" ht="15">
      <c r="A622" s="12" t="s">
        <v>39</v>
      </c>
      <c r="B622" s="65">
        <v>42093.34375</v>
      </c>
      <c r="C622" s="14">
        <v>73.37</v>
      </c>
      <c r="D622" s="15">
        <v>110</v>
      </c>
      <c r="E622" s="15">
        <f t="shared" si="116"/>
        <v>8081.700000000001</v>
      </c>
      <c r="F622" s="13"/>
      <c r="G622" s="14">
        <v>72.07</v>
      </c>
      <c r="H622" s="15">
        <f t="shared" si="117"/>
        <v>7927.699999999999</v>
      </c>
      <c r="I622" s="16">
        <f t="shared" si="118"/>
        <v>-154.00000000000182</v>
      </c>
      <c r="J622" s="19">
        <f t="shared" si="119"/>
        <v>-0.019055396760582773</v>
      </c>
      <c r="K622" s="95" t="s">
        <v>214</v>
      </c>
      <c r="L622" s="119"/>
      <c r="M622" s="20">
        <f t="shared" si="120"/>
        <v>68.23410000000001</v>
      </c>
      <c r="N622" s="118">
        <v>79</v>
      </c>
      <c r="O622" s="116"/>
      <c r="P622" s="116" t="s">
        <v>39</v>
      </c>
      <c r="Q622" s="117"/>
      <c r="R622" s="118"/>
      <c r="S622" s="117"/>
      <c r="T622" s="116"/>
    </row>
    <row r="623" spans="1:20" s="114" customFormat="1" ht="15">
      <c r="A623" s="12" t="s">
        <v>169</v>
      </c>
      <c r="B623" s="65">
        <v>42076.538194444445</v>
      </c>
      <c r="C623" s="14">
        <v>56.64</v>
      </c>
      <c r="D623" s="15">
        <v>320</v>
      </c>
      <c r="E623" s="15">
        <f t="shared" si="116"/>
        <v>18135.8</v>
      </c>
      <c r="F623" s="13"/>
      <c r="G623" s="14">
        <v>58.12</v>
      </c>
      <c r="H623" s="15">
        <f t="shared" si="117"/>
        <v>18598.399999999998</v>
      </c>
      <c r="I623" s="16">
        <f t="shared" si="118"/>
        <v>462.59999999999854</v>
      </c>
      <c r="J623" s="19">
        <f t="shared" si="119"/>
        <v>0.02550755963343214</v>
      </c>
      <c r="K623" s="95" t="s">
        <v>170</v>
      </c>
      <c r="L623" s="119"/>
      <c r="M623" s="20">
        <f t="shared" si="120"/>
        <v>52.675200000000004</v>
      </c>
      <c r="N623" s="118">
        <v>71.25</v>
      </c>
      <c r="O623" s="121">
        <v>42132</v>
      </c>
      <c r="P623" s="116" t="s">
        <v>169</v>
      </c>
      <c r="Q623" s="117">
        <v>61.86</v>
      </c>
      <c r="R623" s="118">
        <f>Q623*0.855</f>
        <v>52.890299999999996</v>
      </c>
      <c r="S623" s="117">
        <f>1.11*C623</f>
        <v>62.870400000000004</v>
      </c>
      <c r="T623" s="116"/>
    </row>
    <row r="624" spans="1:20" s="114" customFormat="1" ht="15">
      <c r="A624" s="12" t="s">
        <v>169</v>
      </c>
      <c r="B624" s="65">
        <v>42082.302777777775</v>
      </c>
      <c r="C624" s="14">
        <v>57.9</v>
      </c>
      <c r="D624" s="15">
        <v>190</v>
      </c>
      <c r="E624" s="15">
        <f t="shared" si="116"/>
        <v>11012</v>
      </c>
      <c r="F624" s="13"/>
      <c r="G624" s="14">
        <v>58.12</v>
      </c>
      <c r="H624" s="15">
        <f t="shared" si="117"/>
        <v>11042.8</v>
      </c>
      <c r="I624" s="16">
        <f t="shared" si="118"/>
        <v>30.799999999999272</v>
      </c>
      <c r="J624" s="19">
        <f t="shared" si="119"/>
        <v>0.002796948783145593</v>
      </c>
      <c r="K624" s="95" t="s">
        <v>217</v>
      </c>
      <c r="L624" s="119"/>
      <c r="M624" s="20">
        <f t="shared" si="120"/>
        <v>53.847</v>
      </c>
      <c r="N624" s="118">
        <v>71.25</v>
      </c>
      <c r="O624" s="116"/>
      <c r="P624" s="116" t="s">
        <v>169</v>
      </c>
      <c r="Q624" s="117"/>
      <c r="R624" s="118"/>
      <c r="S624" s="117"/>
      <c r="T624" s="116"/>
    </row>
    <row r="625" spans="1:20" s="114" customFormat="1" ht="15">
      <c r="A625" s="12" t="s">
        <v>169</v>
      </c>
      <c r="B625" s="65">
        <v>42103.433333333334</v>
      </c>
      <c r="C625" s="14">
        <v>59.27</v>
      </c>
      <c r="D625" s="15">
        <v>125</v>
      </c>
      <c r="E625" s="15">
        <f t="shared" si="116"/>
        <v>7419.75</v>
      </c>
      <c r="F625" s="13"/>
      <c r="G625" s="14">
        <v>58.12</v>
      </c>
      <c r="H625" s="15">
        <f t="shared" si="117"/>
        <v>7265</v>
      </c>
      <c r="I625" s="16">
        <f t="shared" si="118"/>
        <v>-154.75</v>
      </c>
      <c r="J625" s="19">
        <f t="shared" si="119"/>
        <v>-0.02085649786044004</v>
      </c>
      <c r="K625" s="95" t="s">
        <v>216</v>
      </c>
      <c r="L625" s="119"/>
      <c r="M625" s="20">
        <f t="shared" si="120"/>
        <v>55.121100000000006</v>
      </c>
      <c r="N625" s="118">
        <v>71.25</v>
      </c>
      <c r="O625" s="116"/>
      <c r="P625" s="116" t="s">
        <v>169</v>
      </c>
      <c r="Q625" s="117"/>
      <c r="R625" s="118"/>
      <c r="S625" s="117"/>
      <c r="T625" s="116"/>
    </row>
    <row r="626" spans="1:20" s="114" customFormat="1" ht="15">
      <c r="A626" s="12" t="s">
        <v>45</v>
      </c>
      <c r="B626" s="65">
        <v>42080.325694444444</v>
      </c>
      <c r="C626" s="14">
        <v>20.12</v>
      </c>
      <c r="D626" s="15">
        <v>1000</v>
      </c>
      <c r="E626" s="15">
        <f t="shared" si="116"/>
        <v>20131</v>
      </c>
      <c r="F626" s="13"/>
      <c r="G626" s="14">
        <v>34.3</v>
      </c>
      <c r="H626" s="15">
        <f t="shared" si="117"/>
        <v>34300</v>
      </c>
      <c r="I626" s="16">
        <f t="shared" si="118"/>
        <v>14169</v>
      </c>
      <c r="J626" s="19">
        <f t="shared" si="119"/>
        <v>0.7038398489891212</v>
      </c>
      <c r="K626" s="95" t="s">
        <v>186</v>
      </c>
      <c r="L626" s="119">
        <v>30.51</v>
      </c>
      <c r="M626" s="41">
        <f t="shared" si="120"/>
        <v>18.7116</v>
      </c>
      <c r="N626" s="118">
        <v>32</v>
      </c>
      <c r="O626" s="121">
        <v>42159</v>
      </c>
      <c r="P626" s="116" t="s">
        <v>45</v>
      </c>
      <c r="Q626" s="117">
        <v>35.68</v>
      </c>
      <c r="R626" s="118">
        <f>Q626*0.855</f>
        <v>30.5064</v>
      </c>
      <c r="S626" s="117">
        <f>1.11*C626</f>
        <v>22.3332</v>
      </c>
      <c r="T626" s="116"/>
    </row>
    <row r="627" spans="1:20" s="114" customFormat="1" ht="15">
      <c r="A627" s="12" t="s">
        <v>45</v>
      </c>
      <c r="B627" s="65">
        <v>42081.30972222222</v>
      </c>
      <c r="C627" s="14">
        <v>21.46</v>
      </c>
      <c r="D627" s="15">
        <v>500</v>
      </c>
      <c r="E627" s="15">
        <f t="shared" si="116"/>
        <v>10741</v>
      </c>
      <c r="F627" s="13"/>
      <c r="G627" s="14">
        <v>34.3</v>
      </c>
      <c r="H627" s="15">
        <f t="shared" si="117"/>
        <v>17150</v>
      </c>
      <c r="I627" s="16">
        <f t="shared" si="118"/>
        <v>6409</v>
      </c>
      <c r="J627" s="19">
        <f t="shared" si="119"/>
        <v>0.5966855972442044</v>
      </c>
      <c r="K627" s="95" t="s">
        <v>198</v>
      </c>
      <c r="L627" s="119">
        <v>30.51</v>
      </c>
      <c r="M627" s="41">
        <f t="shared" si="120"/>
        <v>19.957800000000002</v>
      </c>
      <c r="N627" s="118">
        <v>32</v>
      </c>
      <c r="O627" s="116"/>
      <c r="P627" s="116" t="s">
        <v>45</v>
      </c>
      <c r="Q627" s="117"/>
      <c r="R627" s="118"/>
      <c r="S627" s="117"/>
      <c r="T627" s="116"/>
    </row>
    <row r="628" spans="1:20" s="114" customFormat="1" ht="15">
      <c r="A628" s="12" t="s">
        <v>45</v>
      </c>
      <c r="B628" s="65">
        <v>42082.32986111111</v>
      </c>
      <c r="C628" s="14">
        <v>23.1</v>
      </c>
      <c r="D628" s="15">
        <v>780</v>
      </c>
      <c r="E628" s="15">
        <f t="shared" si="116"/>
        <v>18029</v>
      </c>
      <c r="F628" s="13"/>
      <c r="G628" s="14">
        <v>34.3</v>
      </c>
      <c r="H628" s="15">
        <f t="shared" si="117"/>
        <v>26753.999999999996</v>
      </c>
      <c r="I628" s="16">
        <f t="shared" si="118"/>
        <v>8724.999999999996</v>
      </c>
      <c r="J628" s="19">
        <f t="shared" si="119"/>
        <v>0.48394253702368384</v>
      </c>
      <c r="K628" s="95" t="s">
        <v>188</v>
      </c>
      <c r="L628" s="119">
        <v>30.51</v>
      </c>
      <c r="M628" s="41">
        <f t="shared" si="120"/>
        <v>21.483000000000004</v>
      </c>
      <c r="N628" s="118">
        <v>32</v>
      </c>
      <c r="O628" s="116"/>
      <c r="P628" s="116" t="s">
        <v>45</v>
      </c>
      <c r="Q628" s="117"/>
      <c r="R628" s="118"/>
      <c r="S628" s="117"/>
      <c r="T628" s="116"/>
    </row>
    <row r="629" spans="1:20" s="114" customFormat="1" ht="15">
      <c r="A629" s="12" t="s">
        <v>45</v>
      </c>
      <c r="B629" s="65">
        <v>42090.27291666667</v>
      </c>
      <c r="C629" s="14">
        <v>23.65</v>
      </c>
      <c r="D629" s="15">
        <v>510</v>
      </c>
      <c r="E629" s="15">
        <f t="shared" si="116"/>
        <v>12072.5</v>
      </c>
      <c r="F629" s="13"/>
      <c r="G629" s="14">
        <v>34.3</v>
      </c>
      <c r="H629" s="15">
        <f t="shared" si="117"/>
        <v>17493</v>
      </c>
      <c r="I629" s="16">
        <f t="shared" si="118"/>
        <v>5420.5</v>
      </c>
      <c r="J629" s="19">
        <f t="shared" si="119"/>
        <v>0.4489956512735556</v>
      </c>
      <c r="K629" s="95" t="s">
        <v>199</v>
      </c>
      <c r="L629" s="119">
        <v>30.51</v>
      </c>
      <c r="M629" s="41">
        <f t="shared" si="120"/>
        <v>21.9945</v>
      </c>
      <c r="N629" s="118">
        <v>32</v>
      </c>
      <c r="O629" s="116"/>
      <c r="P629" s="116" t="s">
        <v>45</v>
      </c>
      <c r="Q629" s="117"/>
      <c r="R629" s="118"/>
      <c r="S629" s="117"/>
      <c r="T629" s="116"/>
    </row>
    <row r="630" spans="1:20" s="114" customFormat="1" ht="15">
      <c r="A630" s="12" t="s">
        <v>45</v>
      </c>
      <c r="B630" s="65">
        <v>42102.27916666667</v>
      </c>
      <c r="C630" s="14">
        <v>26.2</v>
      </c>
      <c r="D630" s="15">
        <v>560</v>
      </c>
      <c r="E630" s="15">
        <f t="shared" si="116"/>
        <v>14683</v>
      </c>
      <c r="F630" s="13"/>
      <c r="G630" s="14">
        <v>34.3</v>
      </c>
      <c r="H630" s="15">
        <f t="shared" si="117"/>
        <v>19208</v>
      </c>
      <c r="I630" s="16">
        <f t="shared" si="118"/>
        <v>4525</v>
      </c>
      <c r="J630" s="19">
        <f t="shared" si="119"/>
        <v>0.3081795273445481</v>
      </c>
      <c r="K630" s="95" t="s">
        <v>218</v>
      </c>
      <c r="L630" s="119">
        <v>30.51</v>
      </c>
      <c r="M630" s="41">
        <f t="shared" si="120"/>
        <v>24.366</v>
      </c>
      <c r="N630" s="118">
        <v>32</v>
      </c>
      <c r="O630" s="116"/>
      <c r="P630" s="116" t="s">
        <v>45</v>
      </c>
      <c r="Q630" s="117"/>
      <c r="R630" s="118"/>
      <c r="S630" s="117"/>
      <c r="T630" s="116"/>
    </row>
    <row r="631" spans="1:20" s="114" customFormat="1" ht="15">
      <c r="A631" s="12" t="s">
        <v>45</v>
      </c>
      <c r="B631" s="65">
        <v>42109.40833333333</v>
      </c>
      <c r="C631" s="14">
        <v>29.02</v>
      </c>
      <c r="D631" s="15">
        <v>670</v>
      </c>
      <c r="E631" s="15">
        <f t="shared" si="116"/>
        <v>19454.4</v>
      </c>
      <c r="F631" s="13"/>
      <c r="G631" s="14">
        <v>34.3</v>
      </c>
      <c r="H631" s="15">
        <f t="shared" si="117"/>
        <v>22980.999999999996</v>
      </c>
      <c r="I631" s="16">
        <f t="shared" si="118"/>
        <v>3526.599999999995</v>
      </c>
      <c r="J631" s="19">
        <f t="shared" si="119"/>
        <v>0.18127518710420237</v>
      </c>
      <c r="K631" s="95" t="s">
        <v>245</v>
      </c>
      <c r="L631" s="119">
        <v>30.51</v>
      </c>
      <c r="M631" s="41">
        <f t="shared" si="120"/>
        <v>26.9886</v>
      </c>
      <c r="N631" s="118">
        <v>32</v>
      </c>
      <c r="O631" s="116"/>
      <c r="P631" s="116" t="s">
        <v>45</v>
      </c>
      <c r="Q631" s="117"/>
      <c r="R631" s="118"/>
      <c r="S631" s="117"/>
      <c r="T631" s="116"/>
    </row>
    <row r="632" spans="1:20" s="114" customFormat="1" ht="15">
      <c r="A632" s="12" t="s">
        <v>45</v>
      </c>
      <c r="B632" s="65">
        <v>42115.27291666667</v>
      </c>
      <c r="C632" s="14">
        <v>31.27</v>
      </c>
      <c r="D632" s="15">
        <v>670</v>
      </c>
      <c r="E632" s="15">
        <f t="shared" si="116"/>
        <v>20961.9</v>
      </c>
      <c r="F632" s="13"/>
      <c r="G632" s="14">
        <v>34.3</v>
      </c>
      <c r="H632" s="15">
        <f t="shared" si="117"/>
        <v>22980.999999999996</v>
      </c>
      <c r="I632" s="16">
        <f t="shared" si="118"/>
        <v>2019.099999999995</v>
      </c>
      <c r="J632" s="19">
        <f t="shared" si="119"/>
        <v>0.09632237535719543</v>
      </c>
      <c r="K632" s="95" t="s">
        <v>235</v>
      </c>
      <c r="L632" s="119">
        <v>30.51</v>
      </c>
      <c r="M632" s="41">
        <f t="shared" si="120"/>
        <v>29.081100000000003</v>
      </c>
      <c r="N632" s="118">
        <v>32</v>
      </c>
      <c r="O632" s="116"/>
      <c r="P632" s="116" t="s">
        <v>45</v>
      </c>
      <c r="Q632" s="117"/>
      <c r="R632" s="118"/>
      <c r="S632" s="117"/>
      <c r="T632" s="116"/>
    </row>
    <row r="633" spans="1:20" s="114" customFormat="1" ht="15">
      <c r="A633" s="12" t="s">
        <v>208</v>
      </c>
      <c r="B633" s="65">
        <v>42090.308333333334</v>
      </c>
      <c r="C633" s="14">
        <v>214</v>
      </c>
      <c r="D633" s="15">
        <v>95</v>
      </c>
      <c r="E633" s="15">
        <f t="shared" si="116"/>
        <v>20341</v>
      </c>
      <c r="F633" s="13"/>
      <c r="G633" s="14">
        <v>221.09</v>
      </c>
      <c r="H633" s="15">
        <f t="shared" si="117"/>
        <v>21003.55</v>
      </c>
      <c r="I633" s="16">
        <f t="shared" si="118"/>
        <v>662.5499999999993</v>
      </c>
      <c r="J633" s="19">
        <f t="shared" si="119"/>
        <v>0.032572144928961176</v>
      </c>
      <c r="K633" s="95" t="s">
        <v>212</v>
      </c>
      <c r="L633" s="119"/>
      <c r="M633" s="20">
        <f t="shared" si="120"/>
        <v>199.02</v>
      </c>
      <c r="N633" s="118">
        <v>267.7</v>
      </c>
      <c r="O633" s="121">
        <v>42136</v>
      </c>
      <c r="P633" s="116" t="s">
        <v>208</v>
      </c>
      <c r="Q633" s="117">
        <v>230.7</v>
      </c>
      <c r="R633" s="118">
        <f>Q633*0.855</f>
        <v>197.24849999999998</v>
      </c>
      <c r="S633" s="117">
        <f>1.11*C633</f>
        <v>237.54000000000002</v>
      </c>
      <c r="T633" s="116"/>
    </row>
    <row r="634" spans="1:20" s="114" customFormat="1" ht="15">
      <c r="A634" s="12" t="s">
        <v>208</v>
      </c>
      <c r="B634" s="65">
        <v>42093.29305555556</v>
      </c>
      <c r="C634" s="14">
        <v>219.41</v>
      </c>
      <c r="D634" s="15">
        <v>55</v>
      </c>
      <c r="E634" s="15">
        <f t="shared" si="116"/>
        <v>12078.55</v>
      </c>
      <c r="F634" s="13"/>
      <c r="G634" s="14">
        <v>221.09</v>
      </c>
      <c r="H634" s="15">
        <f t="shared" si="117"/>
        <v>12159.95</v>
      </c>
      <c r="I634" s="16">
        <f t="shared" si="118"/>
        <v>81.40000000000146</v>
      </c>
      <c r="J634" s="19">
        <f t="shared" si="119"/>
        <v>0.006739219525522638</v>
      </c>
      <c r="K634" s="95" t="s">
        <v>211</v>
      </c>
      <c r="L634" s="119"/>
      <c r="M634" s="20">
        <f t="shared" si="120"/>
        <v>204.0513</v>
      </c>
      <c r="N634" s="118">
        <v>267.7</v>
      </c>
      <c r="O634" s="116"/>
      <c r="P634" s="116" t="s">
        <v>208</v>
      </c>
      <c r="Q634" s="117"/>
      <c r="R634" s="118"/>
      <c r="S634" s="117"/>
      <c r="T634" s="116"/>
    </row>
    <row r="635" spans="1:20" s="114" customFormat="1" ht="15">
      <c r="A635" s="12" t="s">
        <v>208</v>
      </c>
      <c r="B635" s="65">
        <v>42117.27569444444</v>
      </c>
      <c r="C635" s="14">
        <v>226.35</v>
      </c>
      <c r="D635" s="15">
        <v>35</v>
      </c>
      <c r="E635" s="15">
        <f t="shared" si="116"/>
        <v>7933.25</v>
      </c>
      <c r="F635" s="13"/>
      <c r="G635" s="14">
        <v>221.09</v>
      </c>
      <c r="H635" s="15">
        <f t="shared" si="117"/>
        <v>7738.150000000001</v>
      </c>
      <c r="I635" s="16">
        <f t="shared" si="118"/>
        <v>-195.09999999999945</v>
      </c>
      <c r="J635" s="19">
        <f t="shared" si="119"/>
        <v>-0.024592695301421164</v>
      </c>
      <c r="K635" s="95" t="s">
        <v>236</v>
      </c>
      <c r="L635" s="119"/>
      <c r="M635" s="20">
        <f t="shared" si="120"/>
        <v>210.5055</v>
      </c>
      <c r="N635" s="118">
        <v>267.7</v>
      </c>
      <c r="O635" s="116"/>
      <c r="P635" s="116" t="s">
        <v>208</v>
      </c>
      <c r="Q635" s="117"/>
      <c r="R635" s="118"/>
      <c r="S635" s="117"/>
      <c r="T635" s="116"/>
    </row>
    <row r="636" spans="1:20" s="114" customFormat="1" ht="15">
      <c r="A636" s="12" t="s">
        <v>49</v>
      </c>
      <c r="B636" s="65">
        <v>42117.345138888886</v>
      </c>
      <c r="C636" s="14">
        <v>117.5</v>
      </c>
      <c r="D636" s="15">
        <v>215</v>
      </c>
      <c r="E636" s="15">
        <f t="shared" si="116"/>
        <v>25273.5</v>
      </c>
      <c r="F636" s="13"/>
      <c r="G636" s="14">
        <v>129.23</v>
      </c>
      <c r="H636" s="15">
        <f t="shared" si="117"/>
        <v>27784.449999999997</v>
      </c>
      <c r="I636" s="16">
        <f t="shared" si="118"/>
        <v>2510.949999999997</v>
      </c>
      <c r="J636" s="19">
        <f t="shared" si="119"/>
        <v>0.09935109897718943</v>
      </c>
      <c r="K636" s="95" t="s">
        <v>230</v>
      </c>
      <c r="L636" s="119">
        <v>111.83</v>
      </c>
      <c r="M636" s="41">
        <f t="shared" si="120"/>
        <v>109.275</v>
      </c>
      <c r="N636" s="118">
        <v>148.09</v>
      </c>
      <c r="O636" s="121">
        <v>42159</v>
      </c>
      <c r="P636" s="116" t="s">
        <v>49</v>
      </c>
      <c r="Q636" s="117">
        <v>130.79</v>
      </c>
      <c r="R636" s="118">
        <f>Q636*0.855</f>
        <v>111.82544999999999</v>
      </c>
      <c r="S636" s="117">
        <f>1.11*C636</f>
        <v>130.425</v>
      </c>
      <c r="T636" s="116"/>
    </row>
    <row r="637" spans="1:20" s="114" customFormat="1" ht="15">
      <c r="A637" s="12" t="s">
        <v>49</v>
      </c>
      <c r="B637" s="65">
        <v>42118.274305555555</v>
      </c>
      <c r="C637" s="14">
        <v>119.93</v>
      </c>
      <c r="D637" s="15">
        <v>125</v>
      </c>
      <c r="E637" s="15">
        <f t="shared" si="116"/>
        <v>15002.25</v>
      </c>
      <c r="F637" s="13"/>
      <c r="G637" s="14">
        <v>129.23</v>
      </c>
      <c r="H637" s="15">
        <f t="shared" si="117"/>
        <v>16153.749999999998</v>
      </c>
      <c r="I637" s="16">
        <f t="shared" si="118"/>
        <v>1151.4999999999982</v>
      </c>
      <c r="J637" s="19">
        <f t="shared" si="119"/>
        <v>0.0767551533936575</v>
      </c>
      <c r="K637" s="95" t="s">
        <v>231</v>
      </c>
      <c r="L637" s="119">
        <v>111.83</v>
      </c>
      <c r="M637" s="41">
        <f t="shared" si="120"/>
        <v>111.53490000000001</v>
      </c>
      <c r="N637" s="118">
        <v>148.09</v>
      </c>
      <c r="O637" s="116"/>
      <c r="P637" s="116" t="s">
        <v>49</v>
      </c>
      <c r="Q637" s="117"/>
      <c r="R637" s="118"/>
      <c r="S637" s="117"/>
      <c r="T637" s="116"/>
    </row>
    <row r="638" spans="1:20" s="114" customFormat="1" ht="15">
      <c r="A638" s="12" t="s">
        <v>49</v>
      </c>
      <c r="B638" s="65">
        <v>42118.285416666666</v>
      </c>
      <c r="C638" s="14">
        <v>122.62</v>
      </c>
      <c r="D638" s="15">
        <v>80</v>
      </c>
      <c r="E638" s="15">
        <f t="shared" si="116"/>
        <v>9820.6</v>
      </c>
      <c r="F638" s="13"/>
      <c r="G638" s="14">
        <v>129.23</v>
      </c>
      <c r="H638" s="15">
        <f t="shared" si="117"/>
        <v>10338.4</v>
      </c>
      <c r="I638" s="16">
        <f t="shared" si="118"/>
        <v>517.7999999999993</v>
      </c>
      <c r="J638" s="19">
        <f t="shared" si="119"/>
        <v>0.052725902694336316</v>
      </c>
      <c r="K638" s="95" t="s">
        <v>232</v>
      </c>
      <c r="L638" s="119"/>
      <c r="M638" s="20">
        <f t="shared" si="120"/>
        <v>114.0366</v>
      </c>
      <c r="N638" s="118">
        <v>148.09</v>
      </c>
      <c r="O638" s="116"/>
      <c r="P638" s="116" t="s">
        <v>49</v>
      </c>
      <c r="Q638" s="117"/>
      <c r="R638" s="118"/>
      <c r="S638" s="117"/>
      <c r="T638" s="116"/>
    </row>
    <row r="639" spans="1:20" s="114" customFormat="1" ht="15">
      <c r="A639" s="12"/>
      <c r="B639" s="13"/>
      <c r="C639" s="14"/>
      <c r="D639" s="15"/>
      <c r="E639" s="15"/>
      <c r="F639" s="13"/>
      <c r="G639" s="14"/>
      <c r="H639" s="15"/>
      <c r="I639" s="16"/>
      <c r="J639" s="19"/>
      <c r="K639" s="95"/>
      <c r="L639" s="119"/>
      <c r="M639" s="32"/>
      <c r="N639" s="118"/>
      <c r="Q639" s="117"/>
      <c r="R639" s="117"/>
      <c r="S639" s="117"/>
      <c r="T639" s="116"/>
    </row>
    <row r="640" spans="1:20" s="114" customFormat="1" ht="15">
      <c r="A640" s="21" t="s">
        <v>14</v>
      </c>
      <c r="B640" s="22"/>
      <c r="C640" s="23"/>
      <c r="D640" s="24"/>
      <c r="E640" s="24">
        <f>SUM(E602:E639)</f>
        <v>433578.05</v>
      </c>
      <c r="F640" s="22"/>
      <c r="G640" s="23"/>
      <c r="H640" s="24">
        <f>SUM(H602:H639)</f>
        <v>526548.8</v>
      </c>
      <c r="I640" s="25">
        <f>SUM(I602:I639)</f>
        <v>92970.74999999997</v>
      </c>
      <c r="J640" s="26">
        <f>I640/E640</f>
        <v>0.2144267912086416</v>
      </c>
      <c r="K640" s="27" t="s">
        <v>15</v>
      </c>
      <c r="L640" s="28">
        <f>100000+I642</f>
        <v>228851.90999999997</v>
      </c>
      <c r="M640" s="81"/>
      <c r="N640" s="89"/>
      <c r="Q640" s="117"/>
      <c r="R640" s="117"/>
      <c r="S640" s="117"/>
      <c r="T640" s="116"/>
    </row>
    <row r="641" spans="1:20" s="114" customFormat="1" ht="15">
      <c r="A641" s="12" t="s">
        <v>67</v>
      </c>
      <c r="B641" s="22"/>
      <c r="C641" s="25">
        <f>I642-I597</f>
        <v>6897.299999999988</v>
      </c>
      <c r="D641" s="26">
        <f>C641/H595</f>
        <v>0.013715480877012841</v>
      </c>
      <c r="E641" s="24"/>
      <c r="F641" s="22" t="s">
        <v>16</v>
      </c>
      <c r="G641" s="117"/>
      <c r="H641" s="29" t="str">
        <f>IF(ABS(H640-E640-I640)&lt;1,"","ERROR")</f>
        <v/>
      </c>
      <c r="I641" s="30">
        <v>35881.159999999996</v>
      </c>
      <c r="J641" s="26"/>
      <c r="K641" s="111" t="s">
        <v>17</v>
      </c>
      <c r="L641" s="28">
        <f>(2*(100000+I642))-E640</f>
        <v>24125.76999999996</v>
      </c>
      <c r="M641" s="31"/>
      <c r="Q641" s="117"/>
      <c r="R641" s="117"/>
      <c r="S641" s="117"/>
      <c r="T641" s="116"/>
    </row>
    <row r="642" spans="1:20" s="114" customFormat="1" ht="15">
      <c r="A642" s="12" t="s">
        <v>54</v>
      </c>
      <c r="B642" s="22"/>
      <c r="C642" s="25">
        <f>L640-L595</f>
        <v>6897.299999999988</v>
      </c>
      <c r="D642" s="26">
        <f>C642/L595</f>
        <v>0.031075272552347478</v>
      </c>
      <c r="E642" s="24"/>
      <c r="F642" s="22" t="s">
        <v>18</v>
      </c>
      <c r="G642" s="117"/>
      <c r="H642" s="29"/>
      <c r="I642" s="30">
        <f>I640+I641</f>
        <v>128851.90999999997</v>
      </c>
      <c r="J642" s="26">
        <f>I642/100000</f>
        <v>1.2885190999999998</v>
      </c>
      <c r="K642" s="111" t="s">
        <v>19</v>
      </c>
      <c r="L642" s="26">
        <f>E640/(2*(100000+I642))</f>
        <v>0.9472895594360563</v>
      </c>
      <c r="M642" s="31"/>
      <c r="Q642" s="117"/>
      <c r="R642" s="117"/>
      <c r="S642" s="117"/>
      <c r="T642" s="116"/>
    </row>
    <row r="643" spans="2:20" s="114" customFormat="1" ht="15">
      <c r="B643" s="22"/>
      <c r="C643" s="25"/>
      <c r="D643" s="26"/>
      <c r="E643" s="24"/>
      <c r="F643" s="22"/>
      <c r="G643" s="117"/>
      <c r="H643" s="29"/>
      <c r="I643" s="30"/>
      <c r="J643" s="26"/>
      <c r="K643" s="111"/>
      <c r="L643" s="26"/>
      <c r="M643" s="31"/>
      <c r="Q643" s="117"/>
      <c r="R643" s="117"/>
      <c r="S643" s="117"/>
      <c r="T643" s="116"/>
    </row>
    <row r="644" spans="1:20" s="114" customFormat="1" ht="15">
      <c r="A644" s="12"/>
      <c r="B644" s="22"/>
      <c r="C644" s="25"/>
      <c r="D644" s="26"/>
      <c r="E644" s="24"/>
      <c r="F644" s="22"/>
      <c r="G644" s="117"/>
      <c r="H644" s="29"/>
      <c r="I644" s="30"/>
      <c r="J644" s="26"/>
      <c r="K644" s="111"/>
      <c r="L644" s="26"/>
      <c r="M644" s="31"/>
      <c r="Q644" s="117"/>
      <c r="R644" s="117"/>
      <c r="S644" s="117"/>
      <c r="T644" s="116"/>
    </row>
    <row r="645" spans="1:20" s="114" customFormat="1" ht="30.75" customHeight="1">
      <c r="A645" s="108" t="s">
        <v>56</v>
      </c>
      <c r="B645" s="384" t="s">
        <v>240</v>
      </c>
      <c r="C645" s="384"/>
      <c r="D645" s="384"/>
      <c r="E645" s="384"/>
      <c r="F645" s="384"/>
      <c r="G645" s="384"/>
      <c r="H645" s="384"/>
      <c r="I645" s="384"/>
      <c r="J645" s="384"/>
      <c r="K645" s="384"/>
      <c r="L645" s="384"/>
      <c r="M645" s="384"/>
      <c r="N645" s="384"/>
      <c r="O645" s="92"/>
      <c r="P645" s="92"/>
      <c r="Q645" s="104"/>
      <c r="R645" s="104"/>
      <c r="S645" s="107"/>
      <c r="T645" s="109"/>
    </row>
    <row r="646" spans="1:22" s="114" customFormat="1" ht="15">
      <c r="A646" s="2" t="s">
        <v>0</v>
      </c>
      <c r="B646" s="3" t="s">
        <v>1</v>
      </c>
      <c r="C646" s="4" t="s">
        <v>2</v>
      </c>
      <c r="D646" s="5" t="s">
        <v>3</v>
      </c>
      <c r="E646" s="6" t="s">
        <v>4</v>
      </c>
      <c r="F646" s="3" t="s">
        <v>5</v>
      </c>
      <c r="G646" s="7" t="s">
        <v>2</v>
      </c>
      <c r="H646" s="6" t="s">
        <v>6</v>
      </c>
      <c r="I646" s="6" t="s">
        <v>7</v>
      </c>
      <c r="J646" s="8" t="s">
        <v>8</v>
      </c>
      <c r="K646" s="9" t="s">
        <v>9</v>
      </c>
      <c r="L646" s="10" t="s">
        <v>10</v>
      </c>
      <c r="M646" s="11" t="s">
        <v>11</v>
      </c>
      <c r="N646" s="103" t="s">
        <v>53</v>
      </c>
      <c r="O646" s="105" t="s">
        <v>110</v>
      </c>
      <c r="P646" s="106" t="s">
        <v>0</v>
      </c>
      <c r="Q646" s="117" t="s">
        <v>13</v>
      </c>
      <c r="R646" s="117" t="s">
        <v>70</v>
      </c>
      <c r="S646" s="111" t="s">
        <v>103</v>
      </c>
      <c r="T646" s="116" t="s">
        <v>107</v>
      </c>
      <c r="V646" s="9"/>
    </row>
    <row r="647" spans="1:22" s="114" customFormat="1" ht="15">
      <c r="A647" s="12" t="s">
        <v>80</v>
      </c>
      <c r="B647" s="65">
        <v>42011.30486111111</v>
      </c>
      <c r="C647" s="14">
        <v>58.02</v>
      </c>
      <c r="D647" s="15">
        <v>250</v>
      </c>
      <c r="E647" s="15">
        <f aca="true" t="shared" si="121" ref="E647:E685">C647*D647+11</f>
        <v>14516</v>
      </c>
      <c r="F647" s="13"/>
      <c r="G647" s="14">
        <v>100.73</v>
      </c>
      <c r="H647" s="15">
        <f aca="true" t="shared" si="122" ref="H647:H685">G647*D647</f>
        <v>25182.5</v>
      </c>
      <c r="I647" s="16">
        <f aca="true" t="shared" si="123" ref="I647:I685">H647-E647</f>
        <v>10666.5</v>
      </c>
      <c r="J647" s="19">
        <f aca="true" t="shared" si="124" ref="J647:J685">I647/E647</f>
        <v>0.7348098649765775</v>
      </c>
      <c r="K647" s="141" t="s">
        <v>239</v>
      </c>
      <c r="L647" s="140" t="s">
        <v>51</v>
      </c>
      <c r="M647" s="41">
        <f aca="true" t="shared" si="125" ref="M647:M685">C647*0.93</f>
        <v>53.958600000000004</v>
      </c>
      <c r="N647" s="118">
        <v>76.6</v>
      </c>
      <c r="O647" s="121">
        <v>42090</v>
      </c>
      <c r="P647" s="116" t="s">
        <v>80</v>
      </c>
      <c r="Q647" s="117">
        <v>101.45</v>
      </c>
      <c r="R647" s="118">
        <f>Q647*0.855</f>
        <v>86.73975</v>
      </c>
      <c r="S647" s="117">
        <f>1.11*C647</f>
        <v>64.40220000000001</v>
      </c>
      <c r="T647" s="116"/>
      <c r="U647" s="117"/>
      <c r="V647" s="15"/>
    </row>
    <row r="648" spans="1:22" s="114" customFormat="1" ht="15">
      <c r="A648" s="12" t="s">
        <v>80</v>
      </c>
      <c r="B648" s="65">
        <v>42011.40694444445</v>
      </c>
      <c r="C648" s="14">
        <v>59.16</v>
      </c>
      <c r="D648" s="15">
        <v>150</v>
      </c>
      <c r="E648" s="15">
        <f t="shared" si="121"/>
        <v>8885</v>
      </c>
      <c r="F648" s="13"/>
      <c r="G648" s="14">
        <v>100.73</v>
      </c>
      <c r="H648" s="15">
        <f t="shared" si="122"/>
        <v>15109.5</v>
      </c>
      <c r="I648" s="16">
        <f t="shared" si="123"/>
        <v>6224.5</v>
      </c>
      <c r="J648" s="122">
        <f t="shared" si="124"/>
        <v>0.7005627462014632</v>
      </c>
      <c r="K648" s="95" t="s">
        <v>82</v>
      </c>
      <c r="L648" s="140" t="s">
        <v>51</v>
      </c>
      <c r="M648" s="41">
        <f t="shared" si="125"/>
        <v>55.0188</v>
      </c>
      <c r="N648" s="118">
        <v>77.93</v>
      </c>
      <c r="O648" s="116"/>
      <c r="P648" s="116" t="s">
        <v>80</v>
      </c>
      <c r="Q648" s="117"/>
      <c r="R648" s="118"/>
      <c r="S648" s="117"/>
      <c r="T648" s="116"/>
      <c r="V648" s="15"/>
    </row>
    <row r="649" spans="1:22" s="114" customFormat="1" ht="15">
      <c r="A649" s="12" t="s">
        <v>80</v>
      </c>
      <c r="B649" s="65">
        <v>42012.29305555556</v>
      </c>
      <c r="C649" s="14">
        <v>60.3</v>
      </c>
      <c r="D649" s="15">
        <v>100</v>
      </c>
      <c r="E649" s="15">
        <f t="shared" si="121"/>
        <v>6041</v>
      </c>
      <c r="F649" s="13"/>
      <c r="G649" s="14">
        <v>100.73</v>
      </c>
      <c r="H649" s="15">
        <f t="shared" si="122"/>
        <v>10073</v>
      </c>
      <c r="I649" s="16">
        <f t="shared" si="123"/>
        <v>4032</v>
      </c>
      <c r="J649" s="19">
        <f t="shared" si="124"/>
        <v>0.6674391657010429</v>
      </c>
      <c r="K649" s="95" t="s">
        <v>83</v>
      </c>
      <c r="L649" s="140" t="s">
        <v>51</v>
      </c>
      <c r="M649" s="41">
        <f t="shared" si="125"/>
        <v>56.079</v>
      </c>
      <c r="N649" s="118">
        <v>77.93</v>
      </c>
      <c r="O649" s="116"/>
      <c r="P649" s="116" t="s">
        <v>80</v>
      </c>
      <c r="Q649" s="117"/>
      <c r="R649" s="118"/>
      <c r="S649" s="117"/>
      <c r="T649" s="116"/>
      <c r="V649" s="15"/>
    </row>
    <row r="650" spans="1:22" s="114" customFormat="1" ht="15">
      <c r="A650" s="12" t="s">
        <v>80</v>
      </c>
      <c r="B650" s="65">
        <v>42047.271527777775</v>
      </c>
      <c r="C650" s="14">
        <v>64.65</v>
      </c>
      <c r="D650" s="15">
        <v>100</v>
      </c>
      <c r="E650" s="15">
        <f t="shared" si="121"/>
        <v>6476.000000000001</v>
      </c>
      <c r="F650" s="13"/>
      <c r="G650" s="14">
        <v>100.73</v>
      </c>
      <c r="H650" s="15">
        <f t="shared" si="122"/>
        <v>10073</v>
      </c>
      <c r="I650" s="16">
        <f t="shared" si="123"/>
        <v>3596.999999999999</v>
      </c>
      <c r="J650" s="19">
        <f t="shared" si="124"/>
        <v>0.5554354539839405</v>
      </c>
      <c r="K650" s="95" t="s">
        <v>132</v>
      </c>
      <c r="L650" s="140" t="s">
        <v>51</v>
      </c>
      <c r="M650" s="41">
        <f t="shared" si="125"/>
        <v>60.12450000000001</v>
      </c>
      <c r="N650" s="118">
        <v>77.93</v>
      </c>
      <c r="O650" s="116"/>
      <c r="P650" s="116" t="s">
        <v>80</v>
      </c>
      <c r="Q650" s="117"/>
      <c r="R650" s="118"/>
      <c r="S650" s="117"/>
      <c r="T650" s="116"/>
      <c r="V650" s="15"/>
    </row>
    <row r="651" spans="1:22" s="114" customFormat="1" ht="15">
      <c r="A651" s="12" t="s">
        <v>80</v>
      </c>
      <c r="B651" s="65">
        <v>42081.34097222222</v>
      </c>
      <c r="C651" s="14">
        <v>70</v>
      </c>
      <c r="D651" s="15">
        <v>120</v>
      </c>
      <c r="E651" s="15">
        <f t="shared" si="121"/>
        <v>8411</v>
      </c>
      <c r="F651" s="13"/>
      <c r="G651" s="14">
        <v>100.73</v>
      </c>
      <c r="H651" s="15">
        <f t="shared" si="122"/>
        <v>12087.6</v>
      </c>
      <c r="I651" s="16">
        <f t="shared" si="123"/>
        <v>3676.6000000000004</v>
      </c>
      <c r="J651" s="19">
        <f t="shared" si="124"/>
        <v>0.4371180596837475</v>
      </c>
      <c r="K651" s="95" t="s">
        <v>181</v>
      </c>
      <c r="L651" s="140" t="s">
        <v>51</v>
      </c>
      <c r="M651" s="41">
        <f t="shared" si="125"/>
        <v>65.10000000000001</v>
      </c>
      <c r="N651" s="118">
        <v>77.93</v>
      </c>
      <c r="O651" s="116"/>
      <c r="P651" s="116" t="s">
        <v>80</v>
      </c>
      <c r="Q651" s="117"/>
      <c r="R651" s="118"/>
      <c r="S651" s="117"/>
      <c r="T651" s="116"/>
      <c r="V651" s="15"/>
    </row>
    <row r="652" spans="1:22" s="114" customFormat="1" ht="15">
      <c r="A652" s="12" t="s">
        <v>80</v>
      </c>
      <c r="B652" s="65">
        <v>42117.55694444444</v>
      </c>
      <c r="C652" s="14">
        <v>77.75</v>
      </c>
      <c r="D652" s="15">
        <v>150</v>
      </c>
      <c r="E652" s="15">
        <f t="shared" si="121"/>
        <v>11673.5</v>
      </c>
      <c r="F652" s="13"/>
      <c r="G652" s="14">
        <v>100.73</v>
      </c>
      <c r="H652" s="15">
        <f t="shared" si="122"/>
        <v>15109.5</v>
      </c>
      <c r="I652" s="16">
        <f t="shared" si="123"/>
        <v>3436</v>
      </c>
      <c r="J652" s="19">
        <f t="shared" si="124"/>
        <v>0.29434188546708356</v>
      </c>
      <c r="K652" s="95" t="s">
        <v>233</v>
      </c>
      <c r="L652" s="140" t="s">
        <v>51</v>
      </c>
      <c r="M652" s="41">
        <f t="shared" si="125"/>
        <v>72.3075</v>
      </c>
      <c r="N652" s="118">
        <v>77.93</v>
      </c>
      <c r="O652" s="116"/>
      <c r="P652" s="116" t="s">
        <v>80</v>
      </c>
      <c r="Q652" s="117"/>
      <c r="R652" s="118"/>
      <c r="S652" s="117"/>
      <c r="T652" s="116"/>
      <c r="V652" s="15"/>
    </row>
    <row r="653" spans="1:23" s="114" customFormat="1" ht="15">
      <c r="A653" s="12" t="s">
        <v>80</v>
      </c>
      <c r="B653" s="65">
        <v>42128.525</v>
      </c>
      <c r="C653" s="14">
        <v>93.09</v>
      </c>
      <c r="D653" s="15">
        <v>180</v>
      </c>
      <c r="E653" s="15">
        <f t="shared" si="121"/>
        <v>16767.2</v>
      </c>
      <c r="F653" s="13"/>
      <c r="G653" s="14">
        <v>100.73</v>
      </c>
      <c r="H653" s="15">
        <f t="shared" si="122"/>
        <v>18131.4</v>
      </c>
      <c r="I653" s="16">
        <f t="shared" si="123"/>
        <v>1364.2000000000007</v>
      </c>
      <c r="J653" s="19">
        <f t="shared" si="124"/>
        <v>0.08136122906627229</v>
      </c>
      <c r="K653" s="95" t="s">
        <v>244</v>
      </c>
      <c r="L653" s="97"/>
      <c r="M653" s="20">
        <f t="shared" si="125"/>
        <v>86.5737</v>
      </c>
      <c r="N653" s="118">
        <v>77.93</v>
      </c>
      <c r="O653" s="116"/>
      <c r="P653" s="116" t="s">
        <v>80</v>
      </c>
      <c r="Q653" s="117"/>
      <c r="R653" s="118"/>
      <c r="S653" s="117"/>
      <c r="T653" s="116"/>
      <c r="V653" s="15"/>
      <c r="W653" s="29"/>
    </row>
    <row r="654" spans="1:22" s="114" customFormat="1" ht="15">
      <c r="A654" s="12" t="s">
        <v>61</v>
      </c>
      <c r="B654" s="65">
        <v>42040.27847222222</v>
      </c>
      <c r="C654" s="14">
        <v>132.85</v>
      </c>
      <c r="D654" s="15">
        <v>110</v>
      </c>
      <c r="E654" s="15">
        <f t="shared" si="121"/>
        <v>14624.5</v>
      </c>
      <c r="F654" s="65"/>
      <c r="G654" s="14">
        <v>151</v>
      </c>
      <c r="H654" s="15">
        <f t="shared" si="122"/>
        <v>16610</v>
      </c>
      <c r="I654" s="16">
        <f t="shared" si="123"/>
        <v>1985.5</v>
      </c>
      <c r="J654" s="19">
        <f t="shared" si="124"/>
        <v>0.13576532531026703</v>
      </c>
      <c r="K654" s="95" t="s">
        <v>134</v>
      </c>
      <c r="L654" s="119">
        <v>135.92</v>
      </c>
      <c r="M654" s="41">
        <f t="shared" si="125"/>
        <v>123.5505</v>
      </c>
      <c r="N654" s="118">
        <v>168.13</v>
      </c>
      <c r="O654" s="121">
        <v>42086</v>
      </c>
      <c r="P654" s="116" t="s">
        <v>61</v>
      </c>
      <c r="Q654" s="117">
        <v>158.97</v>
      </c>
      <c r="R654" s="118">
        <f>Q654*0.855</f>
        <v>135.91935</v>
      </c>
      <c r="S654" s="117">
        <f>1.11*C654</f>
        <v>147.4635</v>
      </c>
      <c r="T654" s="116"/>
      <c r="U654" s="117"/>
      <c r="V654" s="15"/>
    </row>
    <row r="655" spans="1:22" s="114" customFormat="1" ht="15">
      <c r="A655" s="12" t="s">
        <v>61</v>
      </c>
      <c r="B655" s="65">
        <v>42045.27291666667</v>
      </c>
      <c r="C655" s="14">
        <v>135.9</v>
      </c>
      <c r="D655" s="15">
        <v>65</v>
      </c>
      <c r="E655" s="15">
        <f t="shared" si="121"/>
        <v>8844.5</v>
      </c>
      <c r="F655" s="13"/>
      <c r="G655" s="14">
        <v>151</v>
      </c>
      <c r="H655" s="15">
        <f t="shared" si="122"/>
        <v>9815</v>
      </c>
      <c r="I655" s="16">
        <f t="shared" si="123"/>
        <v>970.5</v>
      </c>
      <c r="J655" s="19">
        <f t="shared" si="124"/>
        <v>0.10972921024365424</v>
      </c>
      <c r="K655" s="95" t="s">
        <v>141</v>
      </c>
      <c r="L655" s="119">
        <v>135.92</v>
      </c>
      <c r="M655" s="41">
        <f t="shared" si="125"/>
        <v>126.38700000000001</v>
      </c>
      <c r="N655" s="118">
        <v>168.13</v>
      </c>
      <c r="O655" s="116"/>
      <c r="P655" s="116" t="s">
        <v>61</v>
      </c>
      <c r="Q655" s="117"/>
      <c r="R655" s="118"/>
      <c r="S655" s="117"/>
      <c r="T655" s="116"/>
      <c r="V655" s="15"/>
    </row>
    <row r="656" spans="1:22" s="114" customFormat="1" ht="15">
      <c r="A656" s="12" t="s">
        <v>61</v>
      </c>
      <c r="B656" s="65">
        <v>42054.277083333334</v>
      </c>
      <c r="C656" s="14">
        <v>139.17</v>
      </c>
      <c r="D656" s="15">
        <v>40</v>
      </c>
      <c r="E656" s="15">
        <f t="shared" si="121"/>
        <v>5577.799999999999</v>
      </c>
      <c r="F656" s="13"/>
      <c r="G656" s="14">
        <v>151</v>
      </c>
      <c r="H656" s="15">
        <f t="shared" si="122"/>
        <v>6040</v>
      </c>
      <c r="I656" s="16">
        <f t="shared" si="123"/>
        <v>462.2000000000007</v>
      </c>
      <c r="J656" s="19">
        <f t="shared" si="124"/>
        <v>0.08286421169636789</v>
      </c>
      <c r="K656" s="95" t="s">
        <v>140</v>
      </c>
      <c r="L656" s="119">
        <v>135.92</v>
      </c>
      <c r="M656" s="41">
        <f t="shared" si="125"/>
        <v>129.4281</v>
      </c>
      <c r="N656" s="118">
        <v>168.13</v>
      </c>
      <c r="O656" s="116"/>
      <c r="P656" s="116" t="s">
        <v>61</v>
      </c>
      <c r="Q656" s="117"/>
      <c r="R656" s="118"/>
      <c r="S656" s="117"/>
      <c r="T656" s="116"/>
      <c r="V656" s="15"/>
    </row>
    <row r="657" spans="1:22" s="114" customFormat="1" ht="15">
      <c r="A657" s="12" t="s">
        <v>61</v>
      </c>
      <c r="B657" s="65">
        <v>42075.56458333333</v>
      </c>
      <c r="C657" s="14">
        <v>154</v>
      </c>
      <c r="D657" s="15">
        <v>40</v>
      </c>
      <c r="E657" s="15">
        <f t="shared" si="121"/>
        <v>6171</v>
      </c>
      <c r="F657" s="13"/>
      <c r="G657" s="14">
        <v>151</v>
      </c>
      <c r="H657" s="15">
        <f t="shared" si="122"/>
        <v>6040</v>
      </c>
      <c r="I657" s="16">
        <f t="shared" si="123"/>
        <v>-131</v>
      </c>
      <c r="J657" s="19">
        <f t="shared" si="124"/>
        <v>-0.021228326041160265</v>
      </c>
      <c r="K657" s="95" t="s">
        <v>160</v>
      </c>
      <c r="L657" s="119"/>
      <c r="M657" s="20">
        <f t="shared" si="125"/>
        <v>143.22</v>
      </c>
      <c r="N657" s="118">
        <v>168.13</v>
      </c>
      <c r="O657" s="116"/>
      <c r="P657" s="116" t="s">
        <v>61</v>
      </c>
      <c r="Q657" s="117"/>
      <c r="R657" s="118"/>
      <c r="S657" s="117"/>
      <c r="T657" s="116"/>
      <c r="V657" s="15"/>
    </row>
    <row r="658" spans="1:23" s="114" customFormat="1" ht="15">
      <c r="A658" s="12" t="s">
        <v>61</v>
      </c>
      <c r="B658" s="65">
        <v>42109.27222222222</v>
      </c>
      <c r="C658" s="14">
        <v>156.13</v>
      </c>
      <c r="D658" s="15">
        <v>50</v>
      </c>
      <c r="E658" s="15">
        <f t="shared" si="121"/>
        <v>7817.5</v>
      </c>
      <c r="F658" s="13"/>
      <c r="G658" s="14">
        <v>151</v>
      </c>
      <c r="H658" s="15">
        <f t="shared" si="122"/>
        <v>7550</v>
      </c>
      <c r="I658" s="16">
        <f t="shared" si="123"/>
        <v>-267.5</v>
      </c>
      <c r="J658" s="19">
        <f t="shared" si="124"/>
        <v>-0.03421810041573393</v>
      </c>
      <c r="K658" s="95" t="s">
        <v>221</v>
      </c>
      <c r="L658" s="119"/>
      <c r="M658" s="20">
        <f t="shared" si="125"/>
        <v>145.2009</v>
      </c>
      <c r="N658" s="118">
        <v>168.13</v>
      </c>
      <c r="O658" s="116"/>
      <c r="P658" s="116" t="s">
        <v>61</v>
      </c>
      <c r="Q658" s="117"/>
      <c r="R658" s="118"/>
      <c r="S658" s="117"/>
      <c r="T658" s="116"/>
      <c r="V658" s="15"/>
      <c r="W658" s="29"/>
    </row>
    <row r="659" spans="1:22" s="114" customFormat="1" ht="15">
      <c r="A659" s="12" t="s">
        <v>52</v>
      </c>
      <c r="B659" s="65">
        <v>42046.27361111111</v>
      </c>
      <c r="C659" s="14">
        <v>129.75</v>
      </c>
      <c r="D659" s="15">
        <v>80</v>
      </c>
      <c r="E659" s="15">
        <f t="shared" si="121"/>
        <v>10391</v>
      </c>
      <c r="F659" s="65"/>
      <c r="G659" s="14">
        <v>154.72</v>
      </c>
      <c r="H659" s="15">
        <f t="shared" si="122"/>
        <v>12377.6</v>
      </c>
      <c r="I659" s="16">
        <f t="shared" si="123"/>
        <v>1986.6000000000004</v>
      </c>
      <c r="J659" s="19">
        <f t="shared" si="124"/>
        <v>0.19118467904917721</v>
      </c>
      <c r="K659" s="95" t="s">
        <v>135</v>
      </c>
      <c r="L659" s="119">
        <v>135.3</v>
      </c>
      <c r="M659" s="41">
        <f t="shared" si="125"/>
        <v>120.6675</v>
      </c>
      <c r="N659" s="118">
        <v>161.78</v>
      </c>
      <c r="O659" s="121">
        <f>WORKDAY(B659,40,'Weekly Summary'!P$2:P$10)</f>
        <v>42104</v>
      </c>
      <c r="P659" s="116" t="s">
        <v>52</v>
      </c>
      <c r="Q659" s="117">
        <v>158.24</v>
      </c>
      <c r="R659" s="118">
        <f>Q659*0.855</f>
        <v>135.2952</v>
      </c>
      <c r="S659" s="117">
        <f>1.11*C659</f>
        <v>144.0225</v>
      </c>
      <c r="T659" s="116"/>
      <c r="U659" s="117"/>
      <c r="V659" s="15"/>
    </row>
    <row r="660" spans="1:22" s="114" customFormat="1" ht="15">
      <c r="A660" s="12" t="s">
        <v>52</v>
      </c>
      <c r="B660" s="65">
        <v>42047.275</v>
      </c>
      <c r="C660" s="14">
        <v>133.95</v>
      </c>
      <c r="D660" s="15">
        <v>45</v>
      </c>
      <c r="E660" s="15">
        <f t="shared" si="121"/>
        <v>6038.749999999999</v>
      </c>
      <c r="F660" s="13"/>
      <c r="G660" s="14">
        <v>154.72</v>
      </c>
      <c r="H660" s="15">
        <f t="shared" si="122"/>
        <v>6962.4</v>
      </c>
      <c r="I660" s="16">
        <f t="shared" si="123"/>
        <v>923.6500000000005</v>
      </c>
      <c r="J660" s="19">
        <f t="shared" si="124"/>
        <v>0.15295383978472377</v>
      </c>
      <c r="K660" s="95" t="s">
        <v>136</v>
      </c>
      <c r="L660" s="119">
        <v>135.3</v>
      </c>
      <c r="M660" s="41">
        <f t="shared" si="125"/>
        <v>124.5735</v>
      </c>
      <c r="N660" s="118">
        <v>161.78</v>
      </c>
      <c r="O660" s="116"/>
      <c r="P660" s="116" t="s">
        <v>52</v>
      </c>
      <c r="Q660" s="117"/>
      <c r="R660" s="118"/>
      <c r="S660" s="117"/>
      <c r="T660" s="116"/>
      <c r="V660" s="15"/>
    </row>
    <row r="661" spans="1:22" s="114" customFormat="1" ht="15">
      <c r="A661" s="12" t="s">
        <v>52</v>
      </c>
      <c r="B661" s="65">
        <v>42048.450694444444</v>
      </c>
      <c r="C661" s="14">
        <v>135.8</v>
      </c>
      <c r="D661" s="15">
        <v>30</v>
      </c>
      <c r="E661" s="15">
        <f t="shared" si="121"/>
        <v>4085.0000000000005</v>
      </c>
      <c r="F661" s="13"/>
      <c r="G661" s="14">
        <v>154.72</v>
      </c>
      <c r="H661" s="15">
        <f t="shared" si="122"/>
        <v>4641.6</v>
      </c>
      <c r="I661" s="16">
        <f t="shared" si="123"/>
        <v>556.5999999999999</v>
      </c>
      <c r="J661" s="19">
        <f t="shared" si="124"/>
        <v>0.13625458996328024</v>
      </c>
      <c r="K661" s="95" t="s">
        <v>143</v>
      </c>
      <c r="L661" s="119">
        <v>135.3</v>
      </c>
      <c r="M661" s="41">
        <f t="shared" si="125"/>
        <v>126.29400000000001</v>
      </c>
      <c r="N661" s="118">
        <v>161.78</v>
      </c>
      <c r="O661" s="116"/>
      <c r="P661" s="116" t="s">
        <v>52</v>
      </c>
      <c r="Q661" s="117"/>
      <c r="R661" s="118"/>
      <c r="S661" s="117"/>
      <c r="T661" s="116"/>
      <c r="V661" s="15"/>
    </row>
    <row r="662" spans="1:22" s="114" customFormat="1" ht="15">
      <c r="A662" s="12" t="s">
        <v>52</v>
      </c>
      <c r="B662" s="65">
        <v>42074.29027777778</v>
      </c>
      <c r="C662" s="14">
        <v>140.55</v>
      </c>
      <c r="D662" s="15">
        <v>30</v>
      </c>
      <c r="E662" s="15">
        <f t="shared" si="121"/>
        <v>4227.5</v>
      </c>
      <c r="F662" s="13"/>
      <c r="G662" s="14">
        <v>154.72</v>
      </c>
      <c r="H662" s="15">
        <f t="shared" si="122"/>
        <v>4641.6</v>
      </c>
      <c r="I662" s="16">
        <f t="shared" si="123"/>
        <v>414.10000000000036</v>
      </c>
      <c r="J662" s="19">
        <f t="shared" si="124"/>
        <v>0.0979538734476642</v>
      </c>
      <c r="K662" s="95" t="s">
        <v>182</v>
      </c>
      <c r="L662" s="119">
        <v>135.3</v>
      </c>
      <c r="M662" s="41">
        <f t="shared" si="125"/>
        <v>130.71150000000003</v>
      </c>
      <c r="N662" s="118">
        <v>161.78</v>
      </c>
      <c r="O662" s="116"/>
      <c r="P662" s="116" t="s">
        <v>52</v>
      </c>
      <c r="Q662" s="117"/>
      <c r="R662" s="118"/>
      <c r="S662" s="117"/>
      <c r="T662" s="116"/>
      <c r="V662" s="15"/>
    </row>
    <row r="663" spans="1:23" s="114" customFormat="1" ht="15">
      <c r="A663" s="12" t="s">
        <v>52</v>
      </c>
      <c r="B663" s="65">
        <v>42093.27638888889</v>
      </c>
      <c r="C663" s="14">
        <v>149.29</v>
      </c>
      <c r="D663" s="15">
        <v>40</v>
      </c>
      <c r="E663" s="15">
        <f t="shared" si="121"/>
        <v>5982.599999999999</v>
      </c>
      <c r="F663" s="13"/>
      <c r="G663" s="14">
        <v>154.72</v>
      </c>
      <c r="H663" s="15">
        <f t="shared" si="122"/>
        <v>6188.8</v>
      </c>
      <c r="I663" s="16">
        <f t="shared" si="123"/>
        <v>206.20000000000073</v>
      </c>
      <c r="J663" s="19">
        <f t="shared" si="124"/>
        <v>0.034466619864273185</v>
      </c>
      <c r="K663" s="95" t="s">
        <v>213</v>
      </c>
      <c r="L663" s="119"/>
      <c r="M663" s="20">
        <f t="shared" si="125"/>
        <v>138.8397</v>
      </c>
      <c r="N663" s="118">
        <v>161.78</v>
      </c>
      <c r="O663" s="116"/>
      <c r="P663" s="116" t="s">
        <v>52</v>
      </c>
      <c r="Q663" s="117"/>
      <c r="R663" s="118"/>
      <c r="S663" s="117"/>
      <c r="T663" s="116"/>
      <c r="V663" s="15"/>
      <c r="W663" s="29"/>
    </row>
    <row r="664" spans="1:22" s="114" customFormat="1" ht="15">
      <c r="A664" s="12" t="s">
        <v>39</v>
      </c>
      <c r="B664" s="65">
        <v>42062.53680555556</v>
      </c>
      <c r="C664" s="14">
        <v>57.65</v>
      </c>
      <c r="D664" s="15">
        <v>100</v>
      </c>
      <c r="E664" s="15">
        <f t="shared" si="121"/>
        <v>5776</v>
      </c>
      <c r="F664" s="13"/>
      <c r="G664" s="14">
        <v>79.86</v>
      </c>
      <c r="H664" s="15">
        <f t="shared" si="122"/>
        <v>7986</v>
      </c>
      <c r="I664" s="16">
        <f t="shared" si="123"/>
        <v>2210</v>
      </c>
      <c r="J664" s="19">
        <f t="shared" si="124"/>
        <v>0.38261772853185594</v>
      </c>
      <c r="K664" s="141" t="s">
        <v>243</v>
      </c>
      <c r="L664" s="119">
        <v>68.37</v>
      </c>
      <c r="M664" s="41">
        <f t="shared" si="125"/>
        <v>53.6145</v>
      </c>
      <c r="N664" s="142">
        <v>79</v>
      </c>
      <c r="O664" s="121">
        <v>42124</v>
      </c>
      <c r="P664" s="116" t="s">
        <v>39</v>
      </c>
      <c r="Q664" s="117">
        <v>79.97</v>
      </c>
      <c r="R664" s="118">
        <f>Q664*0.855</f>
        <v>68.37434999999999</v>
      </c>
      <c r="S664" s="117">
        <f>1.11*C664</f>
        <v>63.9915</v>
      </c>
      <c r="T664" s="116"/>
      <c r="U664" s="117"/>
      <c r="V664" s="15"/>
    </row>
    <row r="665" spans="1:22" s="114" customFormat="1" ht="15">
      <c r="A665" s="12" t="s">
        <v>39</v>
      </c>
      <c r="B665" s="65">
        <v>42073.322916666664</v>
      </c>
      <c r="C665" s="14">
        <v>65.15</v>
      </c>
      <c r="D665" s="15">
        <v>350</v>
      </c>
      <c r="E665" s="15">
        <f t="shared" si="121"/>
        <v>22813.500000000004</v>
      </c>
      <c r="F665" s="13"/>
      <c r="G665" s="14">
        <v>79.86</v>
      </c>
      <c r="H665" s="15">
        <f t="shared" si="122"/>
        <v>27951</v>
      </c>
      <c r="I665" s="16">
        <f t="shared" si="123"/>
        <v>5137.499999999996</v>
      </c>
      <c r="J665" s="19">
        <f t="shared" si="124"/>
        <v>0.2251956078637647</v>
      </c>
      <c r="K665" s="95" t="s">
        <v>164</v>
      </c>
      <c r="L665" s="119">
        <v>68.37</v>
      </c>
      <c r="M665" s="41">
        <f t="shared" si="125"/>
        <v>60.58950000000001</v>
      </c>
      <c r="N665" s="142">
        <v>79</v>
      </c>
      <c r="O665" s="116"/>
      <c r="P665" s="116" t="s">
        <v>39</v>
      </c>
      <c r="Q665" s="117"/>
      <c r="R665" s="118"/>
      <c r="S665" s="117"/>
      <c r="T665" s="116"/>
      <c r="V665" s="15"/>
    </row>
    <row r="666" spans="1:22" s="114" customFormat="1" ht="15">
      <c r="A666" s="12" t="s">
        <v>39</v>
      </c>
      <c r="B666" s="65">
        <v>42073.35555555556</v>
      </c>
      <c r="C666" s="14">
        <v>66.15</v>
      </c>
      <c r="D666" s="15">
        <v>110</v>
      </c>
      <c r="E666" s="15">
        <f t="shared" si="121"/>
        <v>7287.500000000001</v>
      </c>
      <c r="F666" s="13"/>
      <c r="G666" s="14">
        <v>79.86</v>
      </c>
      <c r="H666" s="15">
        <f t="shared" si="122"/>
        <v>8784.6</v>
      </c>
      <c r="I666" s="16">
        <f t="shared" si="123"/>
        <v>1497.0999999999995</v>
      </c>
      <c r="J666" s="19">
        <f t="shared" si="124"/>
        <v>0.20543396226415084</v>
      </c>
      <c r="K666" s="95" t="s">
        <v>165</v>
      </c>
      <c r="L666" s="119">
        <v>68.37</v>
      </c>
      <c r="M666" s="41">
        <f t="shared" si="125"/>
        <v>61.51950000000001</v>
      </c>
      <c r="N666" s="142">
        <v>79</v>
      </c>
      <c r="O666" s="116"/>
      <c r="P666" s="116" t="s">
        <v>39</v>
      </c>
      <c r="Q666" s="117"/>
      <c r="R666" s="118"/>
      <c r="S666" s="117"/>
      <c r="T666" s="116"/>
      <c r="V666" s="15"/>
    </row>
    <row r="667" spans="1:22" s="114" customFormat="1" ht="15">
      <c r="A667" s="12" t="s">
        <v>39</v>
      </c>
      <c r="B667" s="65">
        <v>42093.34375</v>
      </c>
      <c r="C667" s="14">
        <v>73.37</v>
      </c>
      <c r="D667" s="15">
        <v>110</v>
      </c>
      <c r="E667" s="15">
        <f t="shared" si="121"/>
        <v>8081.700000000001</v>
      </c>
      <c r="F667" s="13"/>
      <c r="G667" s="14">
        <v>79.86</v>
      </c>
      <c r="H667" s="15">
        <f t="shared" si="122"/>
        <v>8784.6</v>
      </c>
      <c r="I667" s="16">
        <f t="shared" si="123"/>
        <v>702.8999999999996</v>
      </c>
      <c r="J667" s="19">
        <f t="shared" si="124"/>
        <v>0.08697427521437316</v>
      </c>
      <c r="K667" s="95" t="s">
        <v>214</v>
      </c>
      <c r="L667" s="119">
        <v>68.37</v>
      </c>
      <c r="M667" s="41">
        <f t="shared" si="125"/>
        <v>68.23410000000001</v>
      </c>
      <c r="N667" s="142">
        <v>79</v>
      </c>
      <c r="O667" s="116"/>
      <c r="P667" s="116" t="s">
        <v>39</v>
      </c>
      <c r="Q667" s="117"/>
      <c r="R667" s="118"/>
      <c r="S667" s="117"/>
      <c r="T667" s="116"/>
      <c r="V667" s="15"/>
    </row>
    <row r="668" spans="1:23" s="114" customFormat="1" ht="15">
      <c r="A668" s="85" t="s">
        <v>39</v>
      </c>
      <c r="B668" s="65">
        <v>42139.313888888886</v>
      </c>
      <c r="C668" s="14">
        <v>77.5</v>
      </c>
      <c r="D668" s="15">
        <v>200</v>
      </c>
      <c r="E668" s="15">
        <f t="shared" si="121"/>
        <v>15511</v>
      </c>
      <c r="F668" s="13"/>
      <c r="G668" s="14">
        <v>79.86</v>
      </c>
      <c r="H668" s="15">
        <f t="shared" si="122"/>
        <v>15972</v>
      </c>
      <c r="I668" s="16">
        <f t="shared" si="123"/>
        <v>461</v>
      </c>
      <c r="J668" s="19">
        <f t="shared" si="124"/>
        <v>0.029720843272516277</v>
      </c>
      <c r="K668" s="95" t="s">
        <v>241</v>
      </c>
      <c r="L668" s="119"/>
      <c r="M668" s="20">
        <f t="shared" si="125"/>
        <v>72.075</v>
      </c>
      <c r="N668" s="142">
        <v>79</v>
      </c>
      <c r="O668" s="116"/>
      <c r="P668" s="116" t="s">
        <v>39</v>
      </c>
      <c r="Q668" s="117"/>
      <c r="R668" s="118"/>
      <c r="S668" s="117"/>
      <c r="T668" s="116"/>
      <c r="V668" s="15"/>
      <c r="W668" s="29"/>
    </row>
    <row r="669" spans="1:22" s="114" customFormat="1" ht="15">
      <c r="A669" s="12" t="s">
        <v>169</v>
      </c>
      <c r="B669" s="65">
        <v>42076.538194444445</v>
      </c>
      <c r="C669" s="14">
        <v>56.64</v>
      </c>
      <c r="D669" s="15">
        <v>320</v>
      </c>
      <c r="E669" s="15">
        <f t="shared" si="121"/>
        <v>18135.8</v>
      </c>
      <c r="F669" s="13"/>
      <c r="G669" s="14">
        <v>59.42</v>
      </c>
      <c r="H669" s="15">
        <f t="shared" si="122"/>
        <v>19014.4</v>
      </c>
      <c r="I669" s="16">
        <f t="shared" si="123"/>
        <v>878.6000000000022</v>
      </c>
      <c r="J669" s="19">
        <f t="shared" si="124"/>
        <v>0.0484456158537259</v>
      </c>
      <c r="K669" s="95" t="s">
        <v>170</v>
      </c>
      <c r="L669" s="119"/>
      <c r="M669" s="20">
        <f t="shared" si="125"/>
        <v>52.675200000000004</v>
      </c>
      <c r="N669" s="118">
        <v>71.25</v>
      </c>
      <c r="O669" s="121">
        <v>42132</v>
      </c>
      <c r="P669" s="116" t="s">
        <v>169</v>
      </c>
      <c r="Q669" s="117">
        <v>61.86</v>
      </c>
      <c r="R669" s="118">
        <f>Q669*0.855</f>
        <v>52.890299999999996</v>
      </c>
      <c r="S669" s="117">
        <f>1.11*C669</f>
        <v>62.870400000000004</v>
      </c>
      <c r="T669" s="116"/>
      <c r="U669" s="117"/>
      <c r="V669" s="15"/>
    </row>
    <row r="670" spans="1:22" s="114" customFormat="1" ht="15">
      <c r="A670" s="12" t="s">
        <v>169</v>
      </c>
      <c r="B670" s="65">
        <v>42082.302777777775</v>
      </c>
      <c r="C670" s="14">
        <v>57.9</v>
      </c>
      <c r="D670" s="15">
        <v>190</v>
      </c>
      <c r="E670" s="15">
        <f t="shared" si="121"/>
        <v>11012</v>
      </c>
      <c r="F670" s="13"/>
      <c r="G670" s="14">
        <v>59.42</v>
      </c>
      <c r="H670" s="15">
        <f t="shared" si="122"/>
        <v>11289.800000000001</v>
      </c>
      <c r="I670" s="16">
        <f t="shared" si="123"/>
        <v>277.8000000000011</v>
      </c>
      <c r="J670" s="19">
        <f t="shared" si="124"/>
        <v>0.025227025063567117</v>
      </c>
      <c r="K670" s="95" t="s">
        <v>217</v>
      </c>
      <c r="L670" s="119"/>
      <c r="M670" s="20">
        <f t="shared" si="125"/>
        <v>53.847</v>
      </c>
      <c r="N670" s="118">
        <v>71.25</v>
      </c>
      <c r="O670" s="116"/>
      <c r="P670" s="116" t="s">
        <v>169</v>
      </c>
      <c r="Q670" s="117"/>
      <c r="R670" s="118"/>
      <c r="S670" s="117"/>
      <c r="T670" s="116"/>
      <c r="V670" s="15"/>
    </row>
    <row r="671" spans="1:23" s="114" customFormat="1" ht="15">
      <c r="A671" s="12" t="s">
        <v>169</v>
      </c>
      <c r="B671" s="65">
        <v>42103.433333333334</v>
      </c>
      <c r="C671" s="14">
        <v>59.27</v>
      </c>
      <c r="D671" s="15">
        <v>125</v>
      </c>
      <c r="E671" s="15">
        <f t="shared" si="121"/>
        <v>7419.75</v>
      </c>
      <c r="F671" s="13"/>
      <c r="G671" s="14">
        <v>59.42</v>
      </c>
      <c r="H671" s="15">
        <f t="shared" si="122"/>
        <v>7427.5</v>
      </c>
      <c r="I671" s="16">
        <f t="shared" si="123"/>
        <v>7.75</v>
      </c>
      <c r="J671" s="19">
        <f t="shared" si="124"/>
        <v>0.00104450958590249</v>
      </c>
      <c r="K671" s="95" t="s">
        <v>216</v>
      </c>
      <c r="L671" s="119"/>
      <c r="M671" s="20">
        <f t="shared" si="125"/>
        <v>55.121100000000006</v>
      </c>
      <c r="N671" s="118">
        <v>71.25</v>
      </c>
      <c r="O671" s="116"/>
      <c r="P671" s="116" t="s">
        <v>169</v>
      </c>
      <c r="Q671" s="117"/>
      <c r="R671" s="118"/>
      <c r="S671" s="117"/>
      <c r="T671" s="116"/>
      <c r="V671" s="15"/>
      <c r="W671" s="29"/>
    </row>
    <row r="672" spans="1:22" s="114" customFormat="1" ht="15">
      <c r="A672" s="12" t="s">
        <v>45</v>
      </c>
      <c r="B672" s="65">
        <v>42080.325694444444</v>
      </c>
      <c r="C672" s="14">
        <v>20.12</v>
      </c>
      <c r="D672" s="15">
        <v>1000</v>
      </c>
      <c r="E672" s="15">
        <f t="shared" si="121"/>
        <v>20131</v>
      </c>
      <c r="F672" s="13"/>
      <c r="G672" s="14">
        <v>36.22</v>
      </c>
      <c r="H672" s="15">
        <f t="shared" si="122"/>
        <v>36220</v>
      </c>
      <c r="I672" s="16">
        <f t="shared" si="123"/>
        <v>16089</v>
      </c>
      <c r="J672" s="19">
        <f t="shared" si="124"/>
        <v>0.7992151408275794</v>
      </c>
      <c r="K672" s="95" t="s">
        <v>186</v>
      </c>
      <c r="L672" s="119">
        <v>31.94</v>
      </c>
      <c r="M672" s="41">
        <f t="shared" si="125"/>
        <v>18.7116</v>
      </c>
      <c r="N672" s="118">
        <v>32</v>
      </c>
      <c r="O672" s="121">
        <v>42159</v>
      </c>
      <c r="P672" s="116" t="s">
        <v>45</v>
      </c>
      <c r="Q672" s="117">
        <v>37.36</v>
      </c>
      <c r="R672" s="118">
        <f>Q672*0.855</f>
        <v>31.9428</v>
      </c>
      <c r="S672" s="117">
        <f>1.11*C672</f>
        <v>22.3332</v>
      </c>
      <c r="T672" s="116"/>
      <c r="U672" s="117"/>
      <c r="V672" s="15"/>
    </row>
    <row r="673" spans="1:22" s="114" customFormat="1" ht="15">
      <c r="A673" s="12" t="s">
        <v>45</v>
      </c>
      <c r="B673" s="65">
        <v>42081.30972222222</v>
      </c>
      <c r="C673" s="14">
        <v>21.46</v>
      </c>
      <c r="D673" s="15">
        <v>500</v>
      </c>
      <c r="E673" s="15">
        <f t="shared" si="121"/>
        <v>10741</v>
      </c>
      <c r="F673" s="13"/>
      <c r="G673" s="14">
        <v>36.22</v>
      </c>
      <c r="H673" s="15">
        <f t="shared" si="122"/>
        <v>18110</v>
      </c>
      <c r="I673" s="16">
        <f t="shared" si="123"/>
        <v>7369</v>
      </c>
      <c r="J673" s="19">
        <f t="shared" si="124"/>
        <v>0.6860627502094777</v>
      </c>
      <c r="K673" s="95" t="s">
        <v>198</v>
      </c>
      <c r="L673" s="119">
        <v>31.94</v>
      </c>
      <c r="M673" s="41">
        <f t="shared" si="125"/>
        <v>19.957800000000002</v>
      </c>
      <c r="N673" s="118">
        <v>32</v>
      </c>
      <c r="O673" s="116"/>
      <c r="P673" s="116" t="s">
        <v>45</v>
      </c>
      <c r="Q673" s="117"/>
      <c r="R673" s="118"/>
      <c r="S673" s="117"/>
      <c r="T673" s="116"/>
      <c r="V673" s="15"/>
    </row>
    <row r="674" spans="1:22" s="114" customFormat="1" ht="15">
      <c r="A674" s="12" t="s">
        <v>45</v>
      </c>
      <c r="B674" s="65">
        <v>42082.32986111111</v>
      </c>
      <c r="C674" s="14">
        <v>23.1</v>
      </c>
      <c r="D674" s="15">
        <v>780</v>
      </c>
      <c r="E674" s="15">
        <f t="shared" si="121"/>
        <v>18029</v>
      </c>
      <c r="F674" s="13"/>
      <c r="G674" s="14">
        <v>36.22</v>
      </c>
      <c r="H674" s="15">
        <f t="shared" si="122"/>
        <v>28251.6</v>
      </c>
      <c r="I674" s="16">
        <f t="shared" si="123"/>
        <v>10222.599999999999</v>
      </c>
      <c r="J674" s="19">
        <f t="shared" si="124"/>
        <v>0.5670087081923567</v>
      </c>
      <c r="K674" s="95" t="s">
        <v>188</v>
      </c>
      <c r="L674" s="119">
        <v>31.94</v>
      </c>
      <c r="M674" s="41">
        <f t="shared" si="125"/>
        <v>21.483000000000004</v>
      </c>
      <c r="N674" s="118">
        <v>32</v>
      </c>
      <c r="O674" s="116"/>
      <c r="P674" s="116" t="s">
        <v>45</v>
      </c>
      <c r="Q674" s="117"/>
      <c r="R674" s="118"/>
      <c r="S674" s="117"/>
      <c r="T674" s="116"/>
      <c r="V674" s="15"/>
    </row>
    <row r="675" spans="1:22" s="114" customFormat="1" ht="15">
      <c r="A675" s="12" t="s">
        <v>45</v>
      </c>
      <c r="B675" s="65">
        <v>42090.27291666667</v>
      </c>
      <c r="C675" s="14">
        <v>23.65</v>
      </c>
      <c r="D675" s="15">
        <v>510</v>
      </c>
      <c r="E675" s="15">
        <f t="shared" si="121"/>
        <v>12072.5</v>
      </c>
      <c r="F675" s="13"/>
      <c r="G675" s="14">
        <v>36.22</v>
      </c>
      <c r="H675" s="15">
        <f t="shared" si="122"/>
        <v>18472.2</v>
      </c>
      <c r="I675" s="16">
        <f t="shared" si="123"/>
        <v>6399.700000000001</v>
      </c>
      <c r="J675" s="19">
        <f t="shared" si="124"/>
        <v>0.5301056119279355</v>
      </c>
      <c r="K675" s="95" t="s">
        <v>199</v>
      </c>
      <c r="L675" s="119">
        <v>31.94</v>
      </c>
      <c r="M675" s="41">
        <f t="shared" si="125"/>
        <v>21.9945</v>
      </c>
      <c r="N675" s="118">
        <v>32</v>
      </c>
      <c r="O675" s="116"/>
      <c r="P675" s="116" t="s">
        <v>45</v>
      </c>
      <c r="Q675" s="117"/>
      <c r="R675" s="118"/>
      <c r="S675" s="117"/>
      <c r="T675" s="116"/>
      <c r="V675" s="15"/>
    </row>
    <row r="676" spans="1:22" s="114" customFormat="1" ht="15">
      <c r="A676" s="12" t="s">
        <v>45</v>
      </c>
      <c r="B676" s="65">
        <v>42102.27916666667</v>
      </c>
      <c r="C676" s="14">
        <v>26.2</v>
      </c>
      <c r="D676" s="15">
        <v>560</v>
      </c>
      <c r="E676" s="15">
        <f t="shared" si="121"/>
        <v>14683</v>
      </c>
      <c r="F676" s="13"/>
      <c r="G676" s="14">
        <v>36.22</v>
      </c>
      <c r="H676" s="15">
        <f t="shared" si="122"/>
        <v>20283.2</v>
      </c>
      <c r="I676" s="16">
        <f t="shared" si="123"/>
        <v>5600.200000000001</v>
      </c>
      <c r="J676" s="19">
        <f t="shared" si="124"/>
        <v>0.3814070693999864</v>
      </c>
      <c r="K676" s="95" t="s">
        <v>218</v>
      </c>
      <c r="L676" s="119">
        <v>31.94</v>
      </c>
      <c r="M676" s="41">
        <f t="shared" si="125"/>
        <v>24.366</v>
      </c>
      <c r="N676" s="118">
        <v>32</v>
      </c>
      <c r="O676" s="116"/>
      <c r="P676" s="116" t="s">
        <v>45</v>
      </c>
      <c r="Q676" s="117"/>
      <c r="R676" s="118"/>
      <c r="S676" s="117"/>
      <c r="T676" s="116"/>
      <c r="V676" s="15"/>
    </row>
    <row r="677" spans="1:22" s="114" customFormat="1" ht="15">
      <c r="A677" s="12" t="s">
        <v>45</v>
      </c>
      <c r="B677" s="65">
        <v>42109.40833333333</v>
      </c>
      <c r="C677" s="14">
        <v>29.02</v>
      </c>
      <c r="D677" s="15">
        <v>670</v>
      </c>
      <c r="E677" s="15">
        <f t="shared" si="121"/>
        <v>19454.4</v>
      </c>
      <c r="F677" s="13"/>
      <c r="G677" s="14">
        <v>36.22</v>
      </c>
      <c r="H677" s="15">
        <f t="shared" si="122"/>
        <v>24267.399999999998</v>
      </c>
      <c r="I677" s="16">
        <f t="shared" si="123"/>
        <v>4812.999999999996</v>
      </c>
      <c r="J677" s="19">
        <f t="shared" si="124"/>
        <v>0.2473990459741753</v>
      </c>
      <c r="K677" s="95" t="s">
        <v>245</v>
      </c>
      <c r="L677" s="119">
        <v>31.94</v>
      </c>
      <c r="M677" s="41">
        <f t="shared" si="125"/>
        <v>26.9886</v>
      </c>
      <c r="N677" s="118">
        <v>32</v>
      </c>
      <c r="O677" s="116"/>
      <c r="P677" s="116" t="s">
        <v>45</v>
      </c>
      <c r="Q677" s="117"/>
      <c r="R677" s="118"/>
      <c r="S677" s="117"/>
      <c r="T677" s="116"/>
      <c r="V677" s="15"/>
    </row>
    <row r="678" spans="1:23" s="114" customFormat="1" ht="15">
      <c r="A678" s="12" t="s">
        <v>45</v>
      </c>
      <c r="B678" s="65">
        <v>42115.27291666667</v>
      </c>
      <c r="C678" s="14">
        <v>31.27</v>
      </c>
      <c r="D678" s="15">
        <v>670</v>
      </c>
      <c r="E678" s="15">
        <f t="shared" si="121"/>
        <v>20961.9</v>
      </c>
      <c r="F678" s="13"/>
      <c r="G678" s="14">
        <v>36.22</v>
      </c>
      <c r="H678" s="15">
        <f t="shared" si="122"/>
        <v>24267.399999999998</v>
      </c>
      <c r="I678" s="16">
        <f t="shared" si="123"/>
        <v>3305.4999999999964</v>
      </c>
      <c r="J678" s="19">
        <f t="shared" si="124"/>
        <v>0.15769085817602393</v>
      </c>
      <c r="K678" s="95" t="s">
        <v>235</v>
      </c>
      <c r="L678" s="119">
        <v>31.94</v>
      </c>
      <c r="M678" s="41">
        <f t="shared" si="125"/>
        <v>29.081100000000003</v>
      </c>
      <c r="N678" s="118">
        <v>32</v>
      </c>
      <c r="O678" s="116"/>
      <c r="P678" s="116" t="s">
        <v>45</v>
      </c>
      <c r="Q678" s="117"/>
      <c r="R678" s="118"/>
      <c r="S678" s="117"/>
      <c r="T678" s="116"/>
      <c r="V678" s="15"/>
      <c r="W678" s="29"/>
    </row>
    <row r="679" spans="1:22" s="114" customFormat="1" ht="15">
      <c r="A679" s="12" t="s">
        <v>208</v>
      </c>
      <c r="B679" s="65">
        <v>42090.308333333334</v>
      </c>
      <c r="C679" s="14">
        <v>214</v>
      </c>
      <c r="D679" s="15">
        <v>95</v>
      </c>
      <c r="E679" s="15">
        <f t="shared" si="121"/>
        <v>20341</v>
      </c>
      <c r="F679" s="13"/>
      <c r="G679" s="14">
        <v>223.05</v>
      </c>
      <c r="H679" s="15">
        <f t="shared" si="122"/>
        <v>21189.75</v>
      </c>
      <c r="I679" s="16">
        <f t="shared" si="123"/>
        <v>848.75</v>
      </c>
      <c r="J679" s="19">
        <f t="shared" si="124"/>
        <v>0.04172607049800895</v>
      </c>
      <c r="K679" s="95" t="s">
        <v>212</v>
      </c>
      <c r="L679" s="119"/>
      <c r="M679" s="20">
        <f t="shared" si="125"/>
        <v>199.02</v>
      </c>
      <c r="N679" s="118">
        <v>267.7</v>
      </c>
      <c r="O679" s="121">
        <v>42136</v>
      </c>
      <c r="P679" s="116" t="s">
        <v>208</v>
      </c>
      <c r="Q679" s="117">
        <v>230.7</v>
      </c>
      <c r="R679" s="118">
        <f>Q679*0.855</f>
        <v>197.24849999999998</v>
      </c>
      <c r="S679" s="117">
        <f>1.11*C679</f>
        <v>237.54000000000002</v>
      </c>
      <c r="T679" s="116"/>
      <c r="U679" s="117"/>
      <c r="V679" s="15"/>
    </row>
    <row r="680" spans="1:22" s="114" customFormat="1" ht="15">
      <c r="A680" s="12" t="s">
        <v>208</v>
      </c>
      <c r="B680" s="65">
        <v>42093.29305555556</v>
      </c>
      <c r="C680" s="14">
        <v>219.41</v>
      </c>
      <c r="D680" s="15">
        <v>55</v>
      </c>
      <c r="E680" s="15">
        <f t="shared" si="121"/>
        <v>12078.55</v>
      </c>
      <c r="F680" s="13"/>
      <c r="G680" s="14">
        <v>223.05</v>
      </c>
      <c r="H680" s="15">
        <f t="shared" si="122"/>
        <v>12267.75</v>
      </c>
      <c r="I680" s="16">
        <f t="shared" si="123"/>
        <v>189.20000000000073</v>
      </c>
      <c r="J680" s="19">
        <f t="shared" si="124"/>
        <v>0.01566413187013348</v>
      </c>
      <c r="K680" s="95" t="s">
        <v>211</v>
      </c>
      <c r="L680" s="119"/>
      <c r="M680" s="20">
        <f t="shared" si="125"/>
        <v>204.0513</v>
      </c>
      <c r="N680" s="118">
        <v>267.7</v>
      </c>
      <c r="O680" s="116"/>
      <c r="P680" s="116" t="s">
        <v>208</v>
      </c>
      <c r="Q680" s="117"/>
      <c r="R680" s="118"/>
      <c r="S680" s="117"/>
      <c r="T680" s="116"/>
      <c r="V680" s="15"/>
    </row>
    <row r="681" spans="1:23" s="114" customFormat="1" ht="15">
      <c r="A681" s="12" t="s">
        <v>208</v>
      </c>
      <c r="B681" s="65">
        <v>42117.27569444444</v>
      </c>
      <c r="C681" s="14">
        <v>226.35</v>
      </c>
      <c r="D681" s="15">
        <v>35</v>
      </c>
      <c r="E681" s="15">
        <f t="shared" si="121"/>
        <v>7933.25</v>
      </c>
      <c r="F681" s="13"/>
      <c r="G681" s="14">
        <v>223.05</v>
      </c>
      <c r="H681" s="15">
        <f t="shared" si="122"/>
        <v>7806.75</v>
      </c>
      <c r="I681" s="16">
        <f t="shared" si="123"/>
        <v>-126.5</v>
      </c>
      <c r="J681" s="19">
        <f t="shared" si="124"/>
        <v>-0.015945545646487883</v>
      </c>
      <c r="K681" s="95" t="s">
        <v>236</v>
      </c>
      <c r="L681" s="119"/>
      <c r="M681" s="20">
        <f t="shared" si="125"/>
        <v>210.5055</v>
      </c>
      <c r="N681" s="118">
        <v>267.7</v>
      </c>
      <c r="O681" s="116"/>
      <c r="P681" s="116" t="s">
        <v>208</v>
      </c>
      <c r="Q681" s="117"/>
      <c r="R681" s="118"/>
      <c r="S681" s="117"/>
      <c r="T681" s="116"/>
      <c r="V681" s="15"/>
      <c r="W681" s="29"/>
    </row>
    <row r="682" spans="1:22" s="114" customFormat="1" ht="15">
      <c r="A682" s="12" t="s">
        <v>49</v>
      </c>
      <c r="B682" s="65">
        <v>42117.345138888886</v>
      </c>
      <c r="C682" s="14">
        <v>117.5</v>
      </c>
      <c r="D682" s="15">
        <v>215</v>
      </c>
      <c r="E682" s="15">
        <f t="shared" si="121"/>
        <v>25273.5</v>
      </c>
      <c r="F682" s="13"/>
      <c r="G682" s="14">
        <v>141.12</v>
      </c>
      <c r="H682" s="15">
        <f t="shared" si="122"/>
        <v>30340.8</v>
      </c>
      <c r="I682" s="16">
        <f t="shared" si="123"/>
        <v>5067.299999999999</v>
      </c>
      <c r="J682" s="19">
        <f t="shared" si="124"/>
        <v>0.20049854590776897</v>
      </c>
      <c r="K682" s="95" t="s">
        <v>230</v>
      </c>
      <c r="L682" s="119">
        <v>123.06</v>
      </c>
      <c r="M682" s="41">
        <f t="shared" si="125"/>
        <v>109.275</v>
      </c>
      <c r="N682" s="118">
        <v>148.09</v>
      </c>
      <c r="O682" s="121">
        <v>42159</v>
      </c>
      <c r="P682" s="116" t="s">
        <v>49</v>
      </c>
      <c r="Q682" s="117">
        <v>143.93</v>
      </c>
      <c r="R682" s="118">
        <f>Q682*0.855</f>
        <v>123.06015000000001</v>
      </c>
      <c r="S682" s="117">
        <f>1.11*C682</f>
        <v>130.425</v>
      </c>
      <c r="T682" s="116"/>
      <c r="U682" s="117"/>
      <c r="V682" s="15"/>
    </row>
    <row r="683" spans="1:22" s="114" customFormat="1" ht="15">
      <c r="A683" s="12" t="s">
        <v>49</v>
      </c>
      <c r="B683" s="65">
        <v>42118.274305555555</v>
      </c>
      <c r="C683" s="14">
        <v>119.93</v>
      </c>
      <c r="D683" s="15">
        <v>125</v>
      </c>
      <c r="E683" s="15">
        <f t="shared" si="121"/>
        <v>15002.25</v>
      </c>
      <c r="F683" s="13"/>
      <c r="G683" s="14">
        <v>141.12</v>
      </c>
      <c r="H683" s="15">
        <f t="shared" si="122"/>
        <v>17640</v>
      </c>
      <c r="I683" s="16">
        <f t="shared" si="123"/>
        <v>2637.75</v>
      </c>
      <c r="J683" s="19">
        <f t="shared" si="124"/>
        <v>0.17582362645603158</v>
      </c>
      <c r="K683" s="95" t="s">
        <v>231</v>
      </c>
      <c r="L683" s="119">
        <v>123.06</v>
      </c>
      <c r="M683" s="41">
        <f t="shared" si="125"/>
        <v>111.53490000000001</v>
      </c>
      <c r="N683" s="118">
        <v>148.09</v>
      </c>
      <c r="O683" s="116"/>
      <c r="P683" s="116" t="s">
        <v>49</v>
      </c>
      <c r="Q683" s="117"/>
      <c r="R683" s="118"/>
      <c r="S683" s="117"/>
      <c r="T683" s="116"/>
      <c r="V683" s="15"/>
    </row>
    <row r="684" spans="1:22" s="114" customFormat="1" ht="15">
      <c r="A684" s="12" t="s">
        <v>49</v>
      </c>
      <c r="B684" s="65">
        <v>42118.285416666666</v>
      </c>
      <c r="C684" s="14">
        <v>122.62</v>
      </c>
      <c r="D684" s="15">
        <v>80</v>
      </c>
      <c r="E684" s="15">
        <f t="shared" si="121"/>
        <v>9820.6</v>
      </c>
      <c r="F684" s="13"/>
      <c r="G684" s="14">
        <v>141.12</v>
      </c>
      <c r="H684" s="15">
        <f t="shared" si="122"/>
        <v>11289.6</v>
      </c>
      <c r="I684" s="16">
        <f t="shared" si="123"/>
        <v>1469</v>
      </c>
      <c r="J684" s="19">
        <f t="shared" si="124"/>
        <v>0.14958352850131357</v>
      </c>
      <c r="K684" s="95" t="s">
        <v>232</v>
      </c>
      <c r="L684" s="119">
        <v>123.06</v>
      </c>
      <c r="M684" s="41">
        <f t="shared" si="125"/>
        <v>114.0366</v>
      </c>
      <c r="N684" s="118">
        <v>148.09</v>
      </c>
      <c r="O684" s="116"/>
      <c r="P684" s="116" t="s">
        <v>49</v>
      </c>
      <c r="Q684" s="117"/>
      <c r="R684" s="118"/>
      <c r="S684" s="117"/>
      <c r="T684" s="116"/>
      <c r="V684" s="15"/>
    </row>
    <row r="685" spans="1:23" s="114" customFormat="1" ht="15">
      <c r="A685" s="85" t="s">
        <v>49</v>
      </c>
      <c r="B685" s="65">
        <v>42138.27222222222</v>
      </c>
      <c r="C685" s="14">
        <v>138.86</v>
      </c>
      <c r="D685" s="15">
        <v>85</v>
      </c>
      <c r="E685" s="15">
        <f t="shared" si="121"/>
        <v>11814.1</v>
      </c>
      <c r="F685" s="13"/>
      <c r="G685" s="14">
        <v>141.12</v>
      </c>
      <c r="H685" s="15">
        <f t="shared" si="122"/>
        <v>11995.2</v>
      </c>
      <c r="I685" s="16">
        <f t="shared" si="123"/>
        <v>181.10000000000036</v>
      </c>
      <c r="J685" s="19">
        <f t="shared" si="124"/>
        <v>0.01532914060317759</v>
      </c>
      <c r="K685" s="95" t="s">
        <v>242</v>
      </c>
      <c r="L685" s="119"/>
      <c r="M685" s="20">
        <f t="shared" si="125"/>
        <v>129.1398</v>
      </c>
      <c r="N685" s="118"/>
      <c r="O685" s="116"/>
      <c r="P685" s="116"/>
      <c r="Q685" s="117"/>
      <c r="R685" s="118"/>
      <c r="S685" s="117"/>
      <c r="T685" s="116"/>
      <c r="V685" s="15"/>
      <c r="W685" s="29"/>
    </row>
    <row r="686" spans="1:20" s="114" customFormat="1" ht="15">
      <c r="A686" s="12"/>
      <c r="B686" s="13"/>
      <c r="C686" s="14"/>
      <c r="D686" s="15"/>
      <c r="E686" s="15"/>
      <c r="F686" s="13"/>
      <c r="G686" s="14"/>
      <c r="H686" s="15"/>
      <c r="I686" s="16"/>
      <c r="J686" s="19"/>
      <c r="K686" s="95"/>
      <c r="L686" s="119"/>
      <c r="M686" s="32"/>
      <c r="N686" s="118"/>
      <c r="Q686" s="117"/>
      <c r="R686" s="117"/>
      <c r="S686" s="117"/>
      <c r="T686" s="116"/>
    </row>
    <row r="687" spans="1:20" s="114" customFormat="1" ht="15">
      <c r="A687" s="21" t="s">
        <v>14</v>
      </c>
      <c r="B687" s="22"/>
      <c r="C687" s="23"/>
      <c r="D687" s="24"/>
      <c r="E687" s="24">
        <f>SUM(E647:E686)</f>
        <v>460903.14999999997</v>
      </c>
      <c r="F687" s="22"/>
      <c r="G687" s="23"/>
      <c r="H687" s="24">
        <f>SUM(H647:H686)</f>
        <v>576245.05</v>
      </c>
      <c r="I687" s="25">
        <f>SUM(I647:I686)</f>
        <v>115341.9</v>
      </c>
      <c r="J687" s="26">
        <f>I687/E687</f>
        <v>0.2502519238586241</v>
      </c>
      <c r="K687" s="27" t="s">
        <v>15</v>
      </c>
      <c r="L687" s="28">
        <f>100000+I689</f>
        <v>251223.06</v>
      </c>
      <c r="M687" s="81"/>
      <c r="N687" s="89"/>
      <c r="Q687" s="117"/>
      <c r="R687" s="117"/>
      <c r="S687" s="117"/>
      <c r="T687" s="116"/>
    </row>
    <row r="688" spans="1:20" s="114" customFormat="1" ht="15">
      <c r="A688" s="12" t="s">
        <v>67</v>
      </c>
      <c r="B688" s="22"/>
      <c r="C688" s="25">
        <f>I689-I642</f>
        <v>22371.150000000023</v>
      </c>
      <c r="D688" s="26">
        <f>C688/H640</f>
        <v>0.042486375431868846</v>
      </c>
      <c r="E688" s="24"/>
      <c r="F688" s="22" t="s">
        <v>16</v>
      </c>
      <c r="G688" s="117"/>
      <c r="H688" s="29" t="str">
        <f>IF(ABS(H687-E687-I687)&lt;1,"","ERROR")</f>
        <v/>
      </c>
      <c r="I688" s="30">
        <v>35881.159999999996</v>
      </c>
      <c r="J688" s="26"/>
      <c r="K688" s="111" t="s">
        <v>17</v>
      </c>
      <c r="L688" s="28">
        <f>(2*(100000+I689))-E687</f>
        <v>41542.97000000003</v>
      </c>
      <c r="M688" s="31"/>
      <c r="Q688" s="117"/>
      <c r="R688" s="117"/>
      <c r="S688" s="117"/>
      <c r="T688" s="116"/>
    </row>
    <row r="689" spans="1:20" s="114" customFormat="1" ht="15">
      <c r="A689" s="12" t="s">
        <v>54</v>
      </c>
      <c r="B689" s="22"/>
      <c r="C689" s="25">
        <f>L687-L640</f>
        <v>22371.150000000023</v>
      </c>
      <c r="D689" s="26">
        <f>C689/L640</f>
        <v>0.09775382691802759</v>
      </c>
      <c r="E689" s="24"/>
      <c r="F689" s="22" t="s">
        <v>18</v>
      </c>
      <c r="G689" s="117"/>
      <c r="H689" s="29"/>
      <c r="I689" s="30">
        <f>I687+I688</f>
        <v>151223.06</v>
      </c>
      <c r="J689" s="26">
        <f>I689/100000</f>
        <v>1.5122305999999999</v>
      </c>
      <c r="K689" s="111" t="s">
        <v>19</v>
      </c>
      <c r="L689" s="26">
        <f>E687/(2*(100000+I689))</f>
        <v>0.9173185574604497</v>
      </c>
      <c r="M689" s="31"/>
      <c r="Q689" s="117"/>
      <c r="R689" s="117"/>
      <c r="S689" s="117"/>
      <c r="T689" s="116"/>
    </row>
    <row r="690" spans="2:20" s="114" customFormat="1" ht="15">
      <c r="B690" s="22"/>
      <c r="C690" s="25"/>
      <c r="D690" s="26"/>
      <c r="E690" s="24"/>
      <c r="F690" s="22"/>
      <c r="G690" s="117"/>
      <c r="H690" s="29"/>
      <c r="I690" s="30"/>
      <c r="J690" s="26"/>
      <c r="K690" s="111"/>
      <c r="L690" s="26"/>
      <c r="M690" s="31"/>
      <c r="Q690" s="117"/>
      <c r="R690" s="117"/>
      <c r="S690" s="117"/>
      <c r="T690" s="116"/>
    </row>
    <row r="691" spans="2:20" s="114" customFormat="1" ht="15">
      <c r="B691" s="22"/>
      <c r="C691" s="25"/>
      <c r="D691" s="26"/>
      <c r="E691" s="24"/>
      <c r="F691" s="22"/>
      <c r="G691" s="117"/>
      <c r="H691" s="29"/>
      <c r="I691" s="30"/>
      <c r="J691" s="26"/>
      <c r="K691" s="111"/>
      <c r="L691" s="26"/>
      <c r="M691" s="31"/>
      <c r="Q691" s="117"/>
      <c r="R691" s="117"/>
      <c r="S691" s="117"/>
      <c r="T691" s="116"/>
    </row>
    <row r="692" spans="1:20" s="114" customFormat="1" ht="30.75" customHeight="1">
      <c r="A692" s="108" t="s">
        <v>56</v>
      </c>
      <c r="B692" s="384" t="s">
        <v>247</v>
      </c>
      <c r="C692" s="384"/>
      <c r="D692" s="384"/>
      <c r="E692" s="384"/>
      <c r="F692" s="384"/>
      <c r="G692" s="384"/>
      <c r="H692" s="384"/>
      <c r="I692" s="384"/>
      <c r="J692" s="384"/>
      <c r="K692" s="384"/>
      <c r="L692" s="384"/>
      <c r="M692" s="384"/>
      <c r="N692" s="384"/>
      <c r="O692" s="92"/>
      <c r="P692" s="92"/>
      <c r="Q692" s="104"/>
      <c r="R692" s="104"/>
      <c r="S692" s="107"/>
      <c r="T692" s="109"/>
    </row>
    <row r="693" spans="1:22" s="114" customFormat="1" ht="15">
      <c r="A693" s="2" t="s">
        <v>0</v>
      </c>
      <c r="B693" s="3" t="s">
        <v>1</v>
      </c>
      <c r="C693" s="4" t="s">
        <v>2</v>
      </c>
      <c r="D693" s="5" t="s">
        <v>3</v>
      </c>
      <c r="E693" s="6" t="s">
        <v>4</v>
      </c>
      <c r="F693" s="3" t="s">
        <v>5</v>
      </c>
      <c r="G693" s="7" t="s">
        <v>2</v>
      </c>
      <c r="H693" s="6" t="s">
        <v>6</v>
      </c>
      <c r="I693" s="6" t="s">
        <v>7</v>
      </c>
      <c r="J693" s="8" t="s">
        <v>8</v>
      </c>
      <c r="K693" s="9" t="s">
        <v>9</v>
      </c>
      <c r="L693" s="10" t="s">
        <v>10</v>
      </c>
      <c r="M693" s="11" t="s">
        <v>11</v>
      </c>
      <c r="N693" s="103" t="s">
        <v>53</v>
      </c>
      <c r="O693" s="105" t="s">
        <v>110</v>
      </c>
      <c r="P693" s="106" t="s">
        <v>0</v>
      </c>
      <c r="Q693" s="117" t="s">
        <v>13</v>
      </c>
      <c r="R693" s="117" t="s">
        <v>70</v>
      </c>
      <c r="S693" s="111" t="s">
        <v>103</v>
      </c>
      <c r="T693" s="116" t="s">
        <v>107</v>
      </c>
      <c r="V693" s="9"/>
    </row>
    <row r="694" spans="1:22" s="114" customFormat="1" ht="15">
      <c r="A694" s="12" t="s">
        <v>80</v>
      </c>
      <c r="B694" s="65">
        <v>42011.30486111111</v>
      </c>
      <c r="C694" s="14">
        <v>58.02</v>
      </c>
      <c r="D694" s="15">
        <v>250</v>
      </c>
      <c r="E694" s="15">
        <f aca="true" t="shared" si="126" ref="E694:E733">C694*D694+11</f>
        <v>14516</v>
      </c>
      <c r="F694" s="13"/>
      <c r="G694" s="14">
        <v>104.57</v>
      </c>
      <c r="H694" s="15">
        <f aca="true" t="shared" si="127" ref="H694:H733">G694*D694</f>
        <v>26142.5</v>
      </c>
      <c r="I694" s="16">
        <f aca="true" t="shared" si="128" ref="I694:I733">H694-E694</f>
        <v>11626.5</v>
      </c>
      <c r="J694" s="19">
        <f aca="true" t="shared" si="129" ref="J694:J733">I694/E694</f>
        <v>0.8009437861669881</v>
      </c>
      <c r="K694" s="141" t="s">
        <v>239</v>
      </c>
      <c r="L694" s="140" t="s">
        <v>51</v>
      </c>
      <c r="M694" s="41">
        <f aca="true" t="shared" si="130" ref="M694:M733">C694*0.93</f>
        <v>53.958600000000004</v>
      </c>
      <c r="N694" s="118">
        <v>76.6</v>
      </c>
      <c r="O694" s="121">
        <v>42090</v>
      </c>
      <c r="P694" s="116" t="s">
        <v>80</v>
      </c>
      <c r="Q694" s="117">
        <v>107.71</v>
      </c>
      <c r="R694" s="118">
        <f>Q694*0.855</f>
        <v>92.09204999999999</v>
      </c>
      <c r="S694" s="117">
        <f>1.11*C694</f>
        <v>64.40220000000001</v>
      </c>
      <c r="T694" s="116"/>
      <c r="U694" s="117"/>
      <c r="V694" s="15"/>
    </row>
    <row r="695" spans="1:22" s="114" customFormat="1" ht="15">
      <c r="A695" s="12" t="s">
        <v>80</v>
      </c>
      <c r="B695" s="65">
        <v>42011.40694444445</v>
      </c>
      <c r="C695" s="14">
        <v>59.16</v>
      </c>
      <c r="D695" s="15">
        <v>150</v>
      </c>
      <c r="E695" s="15">
        <f t="shared" si="126"/>
        <v>8885</v>
      </c>
      <c r="F695" s="13"/>
      <c r="G695" s="14">
        <v>104.57</v>
      </c>
      <c r="H695" s="15">
        <f t="shared" si="127"/>
        <v>15685.499999999998</v>
      </c>
      <c r="I695" s="16">
        <f t="shared" si="128"/>
        <v>6800.499999999998</v>
      </c>
      <c r="J695" s="122">
        <f t="shared" si="129"/>
        <v>0.7653911086100167</v>
      </c>
      <c r="K695" s="95" t="s">
        <v>82</v>
      </c>
      <c r="L695" s="140" t="s">
        <v>51</v>
      </c>
      <c r="M695" s="41">
        <f t="shared" si="130"/>
        <v>55.0188</v>
      </c>
      <c r="N695" s="118">
        <v>77.93</v>
      </c>
      <c r="O695" s="116"/>
      <c r="P695" s="116" t="s">
        <v>80</v>
      </c>
      <c r="Q695" s="117"/>
      <c r="R695" s="118"/>
      <c r="S695" s="117"/>
      <c r="T695" s="116"/>
      <c r="V695" s="15"/>
    </row>
    <row r="696" spans="1:22" s="114" customFormat="1" ht="15">
      <c r="A696" s="12" t="s">
        <v>80</v>
      </c>
      <c r="B696" s="65">
        <v>42012.29305555556</v>
      </c>
      <c r="C696" s="14">
        <v>60.3</v>
      </c>
      <c r="D696" s="15">
        <v>100</v>
      </c>
      <c r="E696" s="15">
        <f t="shared" si="126"/>
        <v>6041</v>
      </c>
      <c r="F696" s="13"/>
      <c r="G696" s="14">
        <v>104.57</v>
      </c>
      <c r="H696" s="15">
        <f t="shared" si="127"/>
        <v>10457</v>
      </c>
      <c r="I696" s="16">
        <f t="shared" si="128"/>
        <v>4416</v>
      </c>
      <c r="J696" s="19">
        <f t="shared" si="129"/>
        <v>0.7310048005297136</v>
      </c>
      <c r="K696" s="95" t="s">
        <v>83</v>
      </c>
      <c r="L696" s="140" t="s">
        <v>51</v>
      </c>
      <c r="M696" s="41">
        <f t="shared" si="130"/>
        <v>56.079</v>
      </c>
      <c r="N696" s="118">
        <v>77.93</v>
      </c>
      <c r="O696" s="116"/>
      <c r="P696" s="116" t="s">
        <v>80</v>
      </c>
      <c r="Q696" s="117"/>
      <c r="R696" s="118"/>
      <c r="S696" s="117"/>
      <c r="T696" s="116"/>
      <c r="V696" s="15"/>
    </row>
    <row r="697" spans="1:22" s="114" customFormat="1" ht="15">
      <c r="A697" s="12" t="s">
        <v>80</v>
      </c>
      <c r="B697" s="65">
        <v>42047.271527777775</v>
      </c>
      <c r="C697" s="14">
        <v>64.65</v>
      </c>
      <c r="D697" s="15">
        <v>100</v>
      </c>
      <c r="E697" s="15">
        <f t="shared" si="126"/>
        <v>6476.000000000001</v>
      </c>
      <c r="F697" s="13"/>
      <c r="G697" s="14">
        <v>104.57</v>
      </c>
      <c r="H697" s="15">
        <f t="shared" si="127"/>
        <v>10457</v>
      </c>
      <c r="I697" s="16">
        <f t="shared" si="128"/>
        <v>3980.999999999999</v>
      </c>
      <c r="J697" s="19">
        <f t="shared" si="129"/>
        <v>0.61473131562693</v>
      </c>
      <c r="K697" s="95" t="s">
        <v>132</v>
      </c>
      <c r="L697" s="140" t="s">
        <v>51</v>
      </c>
      <c r="M697" s="41">
        <f t="shared" si="130"/>
        <v>60.12450000000001</v>
      </c>
      <c r="N697" s="118">
        <v>77.93</v>
      </c>
      <c r="O697" s="116"/>
      <c r="P697" s="116" t="s">
        <v>80</v>
      </c>
      <c r="Q697" s="117"/>
      <c r="R697" s="118"/>
      <c r="S697" s="117"/>
      <c r="T697" s="116"/>
      <c r="V697" s="15"/>
    </row>
    <row r="698" spans="1:22" s="114" customFormat="1" ht="15">
      <c r="A698" s="12" t="s">
        <v>80</v>
      </c>
      <c r="B698" s="65">
        <v>42081.34097222222</v>
      </c>
      <c r="C698" s="14">
        <v>70</v>
      </c>
      <c r="D698" s="15">
        <v>120</v>
      </c>
      <c r="E698" s="15">
        <f t="shared" si="126"/>
        <v>8411</v>
      </c>
      <c r="F698" s="13"/>
      <c r="G698" s="14">
        <v>104.57</v>
      </c>
      <c r="H698" s="15">
        <f t="shared" si="127"/>
        <v>12548.4</v>
      </c>
      <c r="I698" s="16">
        <f t="shared" si="128"/>
        <v>4137.4</v>
      </c>
      <c r="J698" s="19">
        <f t="shared" si="129"/>
        <v>0.4919034597550826</v>
      </c>
      <c r="K698" s="95" t="s">
        <v>181</v>
      </c>
      <c r="L698" s="140" t="s">
        <v>51</v>
      </c>
      <c r="M698" s="41">
        <f t="shared" si="130"/>
        <v>65.10000000000001</v>
      </c>
      <c r="N698" s="118">
        <v>77.93</v>
      </c>
      <c r="O698" s="116"/>
      <c r="P698" s="116" t="s">
        <v>80</v>
      </c>
      <c r="Q698" s="117"/>
      <c r="R698" s="118"/>
      <c r="S698" s="117"/>
      <c r="T698" s="116"/>
      <c r="V698" s="15"/>
    </row>
    <row r="699" spans="1:22" s="114" customFormat="1" ht="15">
      <c r="A699" s="12" t="s">
        <v>80</v>
      </c>
      <c r="B699" s="65">
        <v>42117.55694444444</v>
      </c>
      <c r="C699" s="14">
        <v>77.75</v>
      </c>
      <c r="D699" s="15">
        <v>150</v>
      </c>
      <c r="E699" s="15">
        <f t="shared" si="126"/>
        <v>11673.5</v>
      </c>
      <c r="F699" s="13"/>
      <c r="G699" s="14">
        <v>104.57</v>
      </c>
      <c r="H699" s="15">
        <f t="shared" si="127"/>
        <v>15685.499999999998</v>
      </c>
      <c r="I699" s="16">
        <f t="shared" si="128"/>
        <v>4011.999999999998</v>
      </c>
      <c r="J699" s="19">
        <f t="shared" si="129"/>
        <v>0.3436844134149996</v>
      </c>
      <c r="K699" s="95" t="s">
        <v>233</v>
      </c>
      <c r="L699" s="140" t="s">
        <v>51</v>
      </c>
      <c r="M699" s="41">
        <f t="shared" si="130"/>
        <v>72.3075</v>
      </c>
      <c r="N699" s="118">
        <v>77.93</v>
      </c>
      <c r="O699" s="116"/>
      <c r="P699" s="116" t="s">
        <v>80</v>
      </c>
      <c r="Q699" s="117"/>
      <c r="R699" s="118"/>
      <c r="S699" s="117"/>
      <c r="T699" s="116"/>
      <c r="V699" s="15"/>
    </row>
    <row r="700" spans="1:23" s="114" customFormat="1" ht="15">
      <c r="A700" s="12" t="s">
        <v>80</v>
      </c>
      <c r="B700" s="65">
        <v>42128.525</v>
      </c>
      <c r="C700" s="14">
        <v>93.09</v>
      </c>
      <c r="D700" s="15">
        <v>180</v>
      </c>
      <c r="E700" s="15">
        <f t="shared" si="126"/>
        <v>16767.2</v>
      </c>
      <c r="F700" s="13"/>
      <c r="G700" s="14">
        <v>104.57</v>
      </c>
      <c r="H700" s="15">
        <f t="shared" si="127"/>
        <v>18822.6</v>
      </c>
      <c r="I700" s="16">
        <f t="shared" si="128"/>
        <v>2055.399999999998</v>
      </c>
      <c r="J700" s="19">
        <f t="shared" si="129"/>
        <v>0.12258456987451678</v>
      </c>
      <c r="K700" s="95" t="s">
        <v>244</v>
      </c>
      <c r="L700" s="97"/>
      <c r="M700" s="20">
        <f t="shared" si="130"/>
        <v>86.5737</v>
      </c>
      <c r="N700" s="118">
        <v>77.93</v>
      </c>
      <c r="O700" s="116"/>
      <c r="P700" s="116" t="s">
        <v>80</v>
      </c>
      <c r="Q700" s="117"/>
      <c r="R700" s="118"/>
      <c r="S700" s="117"/>
      <c r="T700" s="116"/>
      <c r="V700" s="15"/>
      <c r="W700" s="29"/>
    </row>
    <row r="701" spans="1:22" s="114" customFormat="1" ht="15">
      <c r="A701" s="12" t="s">
        <v>61</v>
      </c>
      <c r="B701" s="65">
        <v>42040.27847222222</v>
      </c>
      <c r="C701" s="14">
        <v>132.85</v>
      </c>
      <c r="D701" s="15">
        <v>110</v>
      </c>
      <c r="E701" s="15">
        <f t="shared" si="126"/>
        <v>14624.5</v>
      </c>
      <c r="F701" s="65"/>
      <c r="G701" s="14">
        <v>151.24</v>
      </c>
      <c r="H701" s="15">
        <f t="shared" si="127"/>
        <v>16636.4</v>
      </c>
      <c r="I701" s="16">
        <f t="shared" si="128"/>
        <v>2011.9000000000015</v>
      </c>
      <c r="J701" s="19">
        <f t="shared" si="129"/>
        <v>0.13757051523129005</v>
      </c>
      <c r="K701" s="95" t="s">
        <v>134</v>
      </c>
      <c r="L701" s="119">
        <v>135.92</v>
      </c>
      <c r="M701" s="41">
        <f t="shared" si="130"/>
        <v>123.5505</v>
      </c>
      <c r="N701" s="118">
        <v>168.13</v>
      </c>
      <c r="O701" s="121">
        <v>42086</v>
      </c>
      <c r="P701" s="116" t="s">
        <v>61</v>
      </c>
      <c r="Q701" s="117">
        <v>158.97</v>
      </c>
      <c r="R701" s="118">
        <f>Q701*0.855</f>
        <v>135.91935</v>
      </c>
      <c r="S701" s="117">
        <f>1.11*C701</f>
        <v>147.4635</v>
      </c>
      <c r="T701" s="116"/>
      <c r="U701" s="117"/>
      <c r="V701" s="15"/>
    </row>
    <row r="702" spans="1:22" s="114" customFormat="1" ht="15">
      <c r="A702" s="12" t="s">
        <v>61</v>
      </c>
      <c r="B702" s="65">
        <v>42045.27291666667</v>
      </c>
      <c r="C702" s="14">
        <v>135.9</v>
      </c>
      <c r="D702" s="15">
        <v>65</v>
      </c>
      <c r="E702" s="15">
        <f t="shared" si="126"/>
        <v>8844.5</v>
      </c>
      <c r="F702" s="13"/>
      <c r="G702" s="14">
        <v>151.24</v>
      </c>
      <c r="H702" s="15">
        <f t="shared" si="127"/>
        <v>9830.6</v>
      </c>
      <c r="I702" s="16">
        <f t="shared" si="128"/>
        <v>986.1000000000004</v>
      </c>
      <c r="J702" s="19">
        <f t="shared" si="129"/>
        <v>0.1114930182599356</v>
      </c>
      <c r="K702" s="95" t="s">
        <v>141</v>
      </c>
      <c r="L702" s="119">
        <v>135.92</v>
      </c>
      <c r="M702" s="41">
        <f t="shared" si="130"/>
        <v>126.38700000000001</v>
      </c>
      <c r="N702" s="118">
        <v>168.13</v>
      </c>
      <c r="O702" s="116"/>
      <c r="P702" s="116" t="s">
        <v>61</v>
      </c>
      <c r="Q702" s="117"/>
      <c r="R702" s="118"/>
      <c r="S702" s="117"/>
      <c r="T702" s="116"/>
      <c r="V702" s="15"/>
    </row>
    <row r="703" spans="1:22" s="114" customFormat="1" ht="15">
      <c r="A703" s="12" t="s">
        <v>61</v>
      </c>
      <c r="B703" s="65">
        <v>42054.277083333334</v>
      </c>
      <c r="C703" s="14">
        <v>139.17</v>
      </c>
      <c r="D703" s="15">
        <v>40</v>
      </c>
      <c r="E703" s="15">
        <f t="shared" si="126"/>
        <v>5577.799999999999</v>
      </c>
      <c r="F703" s="13"/>
      <c r="G703" s="14">
        <v>151.24</v>
      </c>
      <c r="H703" s="15">
        <f t="shared" si="127"/>
        <v>6049.6</v>
      </c>
      <c r="I703" s="16">
        <f t="shared" si="128"/>
        <v>471.8000000000011</v>
      </c>
      <c r="J703" s="19">
        <f t="shared" si="129"/>
        <v>0.08458532037720987</v>
      </c>
      <c r="K703" s="95" t="s">
        <v>140</v>
      </c>
      <c r="L703" s="119">
        <v>135.92</v>
      </c>
      <c r="M703" s="41">
        <f t="shared" si="130"/>
        <v>129.4281</v>
      </c>
      <c r="N703" s="118">
        <v>168.13</v>
      </c>
      <c r="O703" s="116"/>
      <c r="P703" s="116" t="s">
        <v>61</v>
      </c>
      <c r="Q703" s="117"/>
      <c r="R703" s="118"/>
      <c r="S703" s="117"/>
      <c r="T703" s="116"/>
      <c r="V703" s="15"/>
    </row>
    <row r="704" spans="1:22" s="114" customFormat="1" ht="15">
      <c r="A704" s="12" t="s">
        <v>61</v>
      </c>
      <c r="B704" s="65">
        <v>42075.56458333333</v>
      </c>
      <c r="C704" s="14">
        <v>154</v>
      </c>
      <c r="D704" s="15">
        <v>40</v>
      </c>
      <c r="E704" s="15">
        <f t="shared" si="126"/>
        <v>6171</v>
      </c>
      <c r="F704" s="13"/>
      <c r="G704" s="14">
        <v>151.24</v>
      </c>
      <c r="H704" s="15">
        <f t="shared" si="127"/>
        <v>6049.6</v>
      </c>
      <c r="I704" s="16">
        <f t="shared" si="128"/>
        <v>-121.39999999999964</v>
      </c>
      <c r="J704" s="19">
        <f t="shared" si="129"/>
        <v>-0.01967266245341106</v>
      </c>
      <c r="K704" s="95" t="s">
        <v>160</v>
      </c>
      <c r="L704" s="119"/>
      <c r="M704" s="20">
        <f t="shared" si="130"/>
        <v>143.22</v>
      </c>
      <c r="N704" s="118">
        <v>168.13</v>
      </c>
      <c r="O704" s="116"/>
      <c r="P704" s="116" t="s">
        <v>61</v>
      </c>
      <c r="Q704" s="117"/>
      <c r="R704" s="118"/>
      <c r="S704" s="117"/>
      <c r="T704" s="116"/>
      <c r="V704" s="15"/>
    </row>
    <row r="705" spans="1:23" s="114" customFormat="1" ht="15">
      <c r="A705" s="12" t="s">
        <v>61</v>
      </c>
      <c r="B705" s="65">
        <v>42109.27222222222</v>
      </c>
      <c r="C705" s="14">
        <v>156.13</v>
      </c>
      <c r="D705" s="15">
        <v>50</v>
      </c>
      <c r="E705" s="15">
        <f t="shared" si="126"/>
        <v>7817.5</v>
      </c>
      <c r="F705" s="13"/>
      <c r="G705" s="14">
        <v>151.24</v>
      </c>
      <c r="H705" s="15">
        <f t="shared" si="127"/>
        <v>7562</v>
      </c>
      <c r="I705" s="16">
        <f t="shared" si="128"/>
        <v>-255.5</v>
      </c>
      <c r="J705" s="19">
        <f t="shared" si="129"/>
        <v>-0.03268308282699073</v>
      </c>
      <c r="K705" s="95" t="s">
        <v>221</v>
      </c>
      <c r="L705" s="119"/>
      <c r="M705" s="20">
        <f t="shared" si="130"/>
        <v>145.2009</v>
      </c>
      <c r="N705" s="118">
        <v>168.13</v>
      </c>
      <c r="O705" s="116"/>
      <c r="P705" s="116" t="s">
        <v>61</v>
      </c>
      <c r="Q705" s="117"/>
      <c r="R705" s="118"/>
      <c r="S705" s="117"/>
      <c r="T705" s="116"/>
      <c r="V705" s="15"/>
      <c r="W705" s="29"/>
    </row>
    <row r="706" spans="1:22" s="114" customFormat="1" ht="15">
      <c r="A706" s="12" t="s">
        <v>52</v>
      </c>
      <c r="B706" s="65">
        <v>42046.27361111111</v>
      </c>
      <c r="C706" s="14">
        <v>129.75</v>
      </c>
      <c r="D706" s="15">
        <v>80</v>
      </c>
      <c r="E706" s="15">
        <f t="shared" si="126"/>
        <v>10391</v>
      </c>
      <c r="F706" s="65"/>
      <c r="G706" s="14">
        <v>162.87</v>
      </c>
      <c r="H706" s="15">
        <f t="shared" si="127"/>
        <v>13029.6</v>
      </c>
      <c r="I706" s="16">
        <f t="shared" si="128"/>
        <v>2638.6000000000004</v>
      </c>
      <c r="J706" s="19">
        <f t="shared" si="129"/>
        <v>0.2539312866904052</v>
      </c>
      <c r="K706" s="95" t="s">
        <v>135</v>
      </c>
      <c r="L706" s="140" t="s">
        <v>252</v>
      </c>
      <c r="M706" s="41">
        <f t="shared" si="130"/>
        <v>120.6675</v>
      </c>
      <c r="N706" s="118">
        <v>161.78</v>
      </c>
      <c r="O706" s="121">
        <f>WORKDAY(B706,40,'Weekly Summary'!P$2:P$10)</f>
        <v>42104</v>
      </c>
      <c r="P706" s="116" t="s">
        <v>52</v>
      </c>
      <c r="Q706" s="117">
        <v>163.87</v>
      </c>
      <c r="R706" s="118">
        <f>Q706*0.855</f>
        <v>140.10885</v>
      </c>
      <c r="S706" s="117">
        <f>1.11*C706</f>
        <v>144.0225</v>
      </c>
      <c r="T706" s="116"/>
      <c r="U706" s="117"/>
      <c r="V706" s="15"/>
    </row>
    <row r="707" spans="1:22" s="114" customFormat="1" ht="15">
      <c r="A707" s="12" t="s">
        <v>52</v>
      </c>
      <c r="B707" s="65">
        <v>42047.275</v>
      </c>
      <c r="C707" s="14">
        <v>133.95</v>
      </c>
      <c r="D707" s="15">
        <v>45</v>
      </c>
      <c r="E707" s="15">
        <f t="shared" si="126"/>
        <v>6038.749999999999</v>
      </c>
      <c r="F707" s="13"/>
      <c r="G707" s="14">
        <v>162.87</v>
      </c>
      <c r="H707" s="15">
        <f t="shared" si="127"/>
        <v>7329.150000000001</v>
      </c>
      <c r="I707" s="16">
        <f t="shared" si="128"/>
        <v>1290.4000000000015</v>
      </c>
      <c r="J707" s="19">
        <f t="shared" si="129"/>
        <v>0.2136866073276757</v>
      </c>
      <c r="K707" s="95" t="s">
        <v>136</v>
      </c>
      <c r="L707" s="140" t="s">
        <v>252</v>
      </c>
      <c r="M707" s="41">
        <f t="shared" si="130"/>
        <v>124.5735</v>
      </c>
      <c r="N707" s="118">
        <v>161.78</v>
      </c>
      <c r="O707" s="116"/>
      <c r="P707" s="116" t="s">
        <v>52</v>
      </c>
      <c r="Q707" s="117"/>
      <c r="R707" s="118"/>
      <c r="S707" s="117"/>
      <c r="T707" s="116"/>
      <c r="V707" s="15"/>
    </row>
    <row r="708" spans="1:22" s="114" customFormat="1" ht="15">
      <c r="A708" s="12" t="s">
        <v>52</v>
      </c>
      <c r="B708" s="65">
        <v>42048.450694444444</v>
      </c>
      <c r="C708" s="14">
        <v>135.8</v>
      </c>
      <c r="D708" s="15">
        <v>30</v>
      </c>
      <c r="E708" s="15">
        <f t="shared" si="126"/>
        <v>4085.0000000000005</v>
      </c>
      <c r="F708" s="13"/>
      <c r="G708" s="14">
        <v>162.87</v>
      </c>
      <c r="H708" s="15">
        <f t="shared" si="127"/>
        <v>4886.1</v>
      </c>
      <c r="I708" s="16">
        <f t="shared" si="128"/>
        <v>801.0999999999999</v>
      </c>
      <c r="J708" s="19">
        <f t="shared" si="129"/>
        <v>0.19610771113831085</v>
      </c>
      <c r="K708" s="95" t="s">
        <v>143</v>
      </c>
      <c r="L708" s="140" t="s">
        <v>252</v>
      </c>
      <c r="M708" s="41">
        <f t="shared" si="130"/>
        <v>126.29400000000001</v>
      </c>
      <c r="N708" s="118">
        <v>161.78</v>
      </c>
      <c r="O708" s="116"/>
      <c r="P708" s="116" t="s">
        <v>52</v>
      </c>
      <c r="Q708" s="117"/>
      <c r="R708" s="118"/>
      <c r="S708" s="117"/>
      <c r="T708" s="116"/>
      <c r="V708" s="15"/>
    </row>
    <row r="709" spans="1:22" s="114" customFormat="1" ht="15">
      <c r="A709" s="12" t="s">
        <v>52</v>
      </c>
      <c r="B709" s="65">
        <v>42074.29027777778</v>
      </c>
      <c r="C709" s="14">
        <v>140.55</v>
      </c>
      <c r="D709" s="15">
        <v>30</v>
      </c>
      <c r="E709" s="15">
        <f t="shared" si="126"/>
        <v>4227.5</v>
      </c>
      <c r="F709" s="13"/>
      <c r="G709" s="14">
        <v>162.87</v>
      </c>
      <c r="H709" s="15">
        <f t="shared" si="127"/>
        <v>4886.1</v>
      </c>
      <c r="I709" s="16">
        <f t="shared" si="128"/>
        <v>658.6000000000004</v>
      </c>
      <c r="J709" s="19">
        <f t="shared" si="129"/>
        <v>0.15578947368421062</v>
      </c>
      <c r="K709" s="95" t="s">
        <v>182</v>
      </c>
      <c r="L709" s="140" t="s">
        <v>252</v>
      </c>
      <c r="M709" s="41">
        <f t="shared" si="130"/>
        <v>130.71150000000003</v>
      </c>
      <c r="N709" s="118">
        <v>161.78</v>
      </c>
      <c r="O709" s="116"/>
      <c r="P709" s="116" t="s">
        <v>52</v>
      </c>
      <c r="Q709" s="117"/>
      <c r="R709" s="118"/>
      <c r="S709" s="117"/>
      <c r="T709" s="116"/>
      <c r="V709" s="15"/>
    </row>
    <row r="710" spans="1:23" s="114" customFormat="1" ht="15">
      <c r="A710" s="12" t="s">
        <v>52</v>
      </c>
      <c r="B710" s="65">
        <v>42093.27638888889</v>
      </c>
      <c r="C710" s="14">
        <v>149.29</v>
      </c>
      <c r="D710" s="15">
        <v>40</v>
      </c>
      <c r="E710" s="15">
        <f t="shared" si="126"/>
        <v>5982.599999999999</v>
      </c>
      <c r="F710" s="13"/>
      <c r="G710" s="14">
        <v>162.87</v>
      </c>
      <c r="H710" s="15">
        <f t="shared" si="127"/>
        <v>6514.8</v>
      </c>
      <c r="I710" s="16">
        <f t="shared" si="128"/>
        <v>532.2000000000007</v>
      </c>
      <c r="J710" s="19">
        <f t="shared" si="129"/>
        <v>0.08895797813659626</v>
      </c>
      <c r="K710" s="95" t="s">
        <v>213</v>
      </c>
      <c r="L710" s="140" t="s">
        <v>252</v>
      </c>
      <c r="M710" s="41">
        <f t="shared" si="130"/>
        <v>138.8397</v>
      </c>
      <c r="N710" s="118">
        <v>161.78</v>
      </c>
      <c r="O710" s="116"/>
      <c r="P710" s="116" t="s">
        <v>52</v>
      </c>
      <c r="Q710" s="117"/>
      <c r="R710" s="118"/>
      <c r="S710" s="117"/>
      <c r="T710" s="116"/>
      <c r="V710" s="15"/>
      <c r="W710" s="29"/>
    </row>
    <row r="711" spans="1:24" s="114" customFormat="1" ht="15">
      <c r="A711" s="85" t="s">
        <v>52</v>
      </c>
      <c r="B711" s="65">
        <v>42142.46666666667</v>
      </c>
      <c r="C711" s="14">
        <v>158</v>
      </c>
      <c r="D711" s="15">
        <v>45</v>
      </c>
      <c r="E711" s="15">
        <f t="shared" si="126"/>
        <v>7121</v>
      </c>
      <c r="F711" s="13"/>
      <c r="G711" s="14">
        <v>162.87</v>
      </c>
      <c r="H711" s="15">
        <f t="shared" si="127"/>
        <v>7329.150000000001</v>
      </c>
      <c r="I711" s="16">
        <f t="shared" si="128"/>
        <v>208.15000000000055</v>
      </c>
      <c r="J711" s="19">
        <f t="shared" si="129"/>
        <v>0.029230445162196396</v>
      </c>
      <c r="K711" s="95" t="s">
        <v>246</v>
      </c>
      <c r="L711" s="119"/>
      <c r="M711" s="20">
        <f t="shared" si="130"/>
        <v>146.94</v>
      </c>
      <c r="N711" s="118">
        <v>161.78</v>
      </c>
      <c r="O711" s="116"/>
      <c r="P711" s="116" t="s">
        <v>52</v>
      </c>
      <c r="Q711" s="117"/>
      <c r="R711" s="118"/>
      <c r="S711" s="117"/>
      <c r="T711" s="116"/>
      <c r="V711" s="15"/>
      <c r="W711" s="29"/>
      <c r="X711" s="29"/>
    </row>
    <row r="712" spans="1:22" s="114" customFormat="1" ht="15">
      <c r="A712" s="12" t="s">
        <v>39</v>
      </c>
      <c r="B712" s="65">
        <v>42062.53680555556</v>
      </c>
      <c r="C712" s="14">
        <v>57.65</v>
      </c>
      <c r="D712" s="15">
        <v>100</v>
      </c>
      <c r="E712" s="15">
        <f t="shared" si="126"/>
        <v>5776</v>
      </c>
      <c r="F712" s="13"/>
      <c r="G712" s="14">
        <v>83.68</v>
      </c>
      <c r="H712" s="15">
        <f t="shared" si="127"/>
        <v>8368</v>
      </c>
      <c r="I712" s="16">
        <f t="shared" si="128"/>
        <v>2592</v>
      </c>
      <c r="J712" s="19">
        <f t="shared" si="129"/>
        <v>0.4487534626038781</v>
      </c>
      <c r="K712" s="141" t="s">
        <v>243</v>
      </c>
      <c r="L712" s="119">
        <v>74.02</v>
      </c>
      <c r="M712" s="41">
        <f t="shared" si="130"/>
        <v>53.6145</v>
      </c>
      <c r="N712" s="142">
        <v>79</v>
      </c>
      <c r="O712" s="121">
        <v>42124</v>
      </c>
      <c r="P712" s="116" t="s">
        <v>39</v>
      </c>
      <c r="Q712" s="117">
        <v>86.57</v>
      </c>
      <c r="R712" s="118">
        <f>Q712*0.855</f>
        <v>74.01735</v>
      </c>
      <c r="S712" s="117">
        <f>1.11*C712</f>
        <v>63.9915</v>
      </c>
      <c r="T712" s="116"/>
      <c r="U712" s="117"/>
      <c r="V712" s="15"/>
    </row>
    <row r="713" spans="1:22" s="114" customFormat="1" ht="15">
      <c r="A713" s="12" t="s">
        <v>39</v>
      </c>
      <c r="B713" s="65">
        <v>42073.322916666664</v>
      </c>
      <c r="C713" s="14">
        <v>65.15</v>
      </c>
      <c r="D713" s="15">
        <v>350</v>
      </c>
      <c r="E713" s="15">
        <f t="shared" si="126"/>
        <v>22813.500000000004</v>
      </c>
      <c r="F713" s="13"/>
      <c r="G713" s="14">
        <v>83.68</v>
      </c>
      <c r="H713" s="15">
        <f t="shared" si="127"/>
        <v>29288.000000000004</v>
      </c>
      <c r="I713" s="16">
        <f t="shared" si="128"/>
        <v>6474.5</v>
      </c>
      <c r="J713" s="19">
        <f t="shared" si="129"/>
        <v>0.28380125802704537</v>
      </c>
      <c r="K713" s="95" t="s">
        <v>164</v>
      </c>
      <c r="L713" s="119">
        <v>74.02</v>
      </c>
      <c r="M713" s="41">
        <f t="shared" si="130"/>
        <v>60.58950000000001</v>
      </c>
      <c r="N713" s="142">
        <v>79</v>
      </c>
      <c r="O713" s="116"/>
      <c r="P713" s="116" t="s">
        <v>39</v>
      </c>
      <c r="Q713" s="117"/>
      <c r="R713" s="118"/>
      <c r="S713" s="117"/>
      <c r="T713" s="116"/>
      <c r="V713" s="15"/>
    </row>
    <row r="714" spans="1:22" s="114" customFormat="1" ht="15">
      <c r="A714" s="12" t="s">
        <v>39</v>
      </c>
      <c r="B714" s="65">
        <v>42073.35555555556</v>
      </c>
      <c r="C714" s="14">
        <v>66.15</v>
      </c>
      <c r="D714" s="15">
        <v>110</v>
      </c>
      <c r="E714" s="15">
        <f t="shared" si="126"/>
        <v>7287.500000000001</v>
      </c>
      <c r="F714" s="13"/>
      <c r="G714" s="14">
        <v>83.68</v>
      </c>
      <c r="H714" s="15">
        <f t="shared" si="127"/>
        <v>9204.800000000001</v>
      </c>
      <c r="I714" s="16">
        <f t="shared" si="128"/>
        <v>1917.3000000000002</v>
      </c>
      <c r="J714" s="19">
        <f t="shared" si="129"/>
        <v>0.2630943396226415</v>
      </c>
      <c r="K714" s="95" t="s">
        <v>165</v>
      </c>
      <c r="L714" s="119">
        <v>74.02</v>
      </c>
      <c r="M714" s="41">
        <f t="shared" si="130"/>
        <v>61.51950000000001</v>
      </c>
      <c r="N714" s="142">
        <v>79</v>
      </c>
      <c r="O714" s="116"/>
      <c r="P714" s="116" t="s">
        <v>39</v>
      </c>
      <c r="Q714" s="117"/>
      <c r="R714" s="118"/>
      <c r="S714" s="117"/>
      <c r="T714" s="116"/>
      <c r="V714" s="15"/>
    </row>
    <row r="715" spans="1:22" s="114" customFormat="1" ht="15">
      <c r="A715" s="12" t="s">
        <v>39</v>
      </c>
      <c r="B715" s="65">
        <v>42093.34375</v>
      </c>
      <c r="C715" s="14">
        <v>73.37</v>
      </c>
      <c r="D715" s="15">
        <v>110</v>
      </c>
      <c r="E715" s="15">
        <f t="shared" si="126"/>
        <v>8081.700000000001</v>
      </c>
      <c r="F715" s="13"/>
      <c r="G715" s="14">
        <v>83.68</v>
      </c>
      <c r="H715" s="15">
        <f t="shared" si="127"/>
        <v>9204.800000000001</v>
      </c>
      <c r="I715" s="16">
        <f t="shared" si="128"/>
        <v>1123.1000000000004</v>
      </c>
      <c r="J715" s="19">
        <f t="shared" si="129"/>
        <v>0.13896828637539135</v>
      </c>
      <c r="K715" s="95" t="s">
        <v>214</v>
      </c>
      <c r="L715" s="119">
        <v>74.02</v>
      </c>
      <c r="M715" s="41">
        <f t="shared" si="130"/>
        <v>68.23410000000001</v>
      </c>
      <c r="N715" s="142">
        <v>79</v>
      </c>
      <c r="O715" s="116"/>
      <c r="P715" s="116" t="s">
        <v>39</v>
      </c>
      <c r="Q715" s="117"/>
      <c r="R715" s="118"/>
      <c r="S715" s="117"/>
      <c r="T715" s="116"/>
      <c r="V715" s="15"/>
    </row>
    <row r="716" spans="1:23" s="114" customFormat="1" ht="15">
      <c r="A716" s="12" t="s">
        <v>39</v>
      </c>
      <c r="B716" s="65">
        <v>42139.313888888886</v>
      </c>
      <c r="C716" s="14">
        <v>77.5</v>
      </c>
      <c r="D716" s="15">
        <v>200</v>
      </c>
      <c r="E716" s="15">
        <f t="shared" si="126"/>
        <v>15511</v>
      </c>
      <c r="F716" s="13"/>
      <c r="G716" s="14">
        <v>83.68</v>
      </c>
      <c r="H716" s="15">
        <f t="shared" si="127"/>
        <v>16736</v>
      </c>
      <c r="I716" s="16">
        <f t="shared" si="128"/>
        <v>1225</v>
      </c>
      <c r="J716" s="19">
        <f t="shared" si="129"/>
        <v>0.07897621043130681</v>
      </c>
      <c r="K716" s="95" t="s">
        <v>241</v>
      </c>
      <c r="L716" s="119">
        <v>74.02</v>
      </c>
      <c r="M716" s="41">
        <f t="shared" si="130"/>
        <v>72.075</v>
      </c>
      <c r="N716" s="142">
        <v>79</v>
      </c>
      <c r="O716" s="116"/>
      <c r="P716" s="116" t="s">
        <v>39</v>
      </c>
      <c r="Q716" s="117"/>
      <c r="R716" s="118"/>
      <c r="S716" s="117"/>
      <c r="T716" s="116"/>
      <c r="V716" s="15"/>
      <c r="W716" s="29"/>
    </row>
    <row r="717" spans="1:22" s="114" customFormat="1" ht="15">
      <c r="A717" s="12" t="s">
        <v>169</v>
      </c>
      <c r="B717" s="65">
        <v>42076.538194444445</v>
      </c>
      <c r="C717" s="14">
        <v>56.64</v>
      </c>
      <c r="D717" s="15">
        <v>320</v>
      </c>
      <c r="E717" s="15">
        <f t="shared" si="126"/>
        <v>18135.8</v>
      </c>
      <c r="F717" s="13"/>
      <c r="G717" s="14">
        <v>59.86</v>
      </c>
      <c r="H717" s="15">
        <f t="shared" si="127"/>
        <v>19155.2</v>
      </c>
      <c r="I717" s="16">
        <f t="shared" si="128"/>
        <v>1019.4000000000015</v>
      </c>
      <c r="J717" s="19">
        <f t="shared" si="129"/>
        <v>0.056209265651363687</v>
      </c>
      <c r="K717" s="95" t="s">
        <v>170</v>
      </c>
      <c r="L717" s="119"/>
      <c r="M717" s="20">
        <f t="shared" si="130"/>
        <v>52.675200000000004</v>
      </c>
      <c r="N717" s="118">
        <v>71.25</v>
      </c>
      <c r="O717" s="121">
        <v>42132</v>
      </c>
      <c r="P717" s="116" t="s">
        <v>169</v>
      </c>
      <c r="Q717" s="117">
        <v>61.86</v>
      </c>
      <c r="R717" s="118">
        <f>Q717*0.855</f>
        <v>52.890299999999996</v>
      </c>
      <c r="S717" s="117">
        <f>1.11*C717</f>
        <v>62.870400000000004</v>
      </c>
      <c r="T717" s="116"/>
      <c r="U717" s="117"/>
      <c r="V717" s="15"/>
    </row>
    <row r="718" spans="1:22" s="114" customFormat="1" ht="15">
      <c r="A718" s="12" t="s">
        <v>169</v>
      </c>
      <c r="B718" s="65">
        <v>42082.302777777775</v>
      </c>
      <c r="C718" s="14">
        <v>57.9</v>
      </c>
      <c r="D718" s="15">
        <v>190</v>
      </c>
      <c r="E718" s="15">
        <f t="shared" si="126"/>
        <v>11012</v>
      </c>
      <c r="F718" s="13"/>
      <c r="G718" s="14">
        <v>59.86</v>
      </c>
      <c r="H718" s="15">
        <f t="shared" si="127"/>
        <v>11373.4</v>
      </c>
      <c r="I718" s="16">
        <f t="shared" si="128"/>
        <v>361.39999999999964</v>
      </c>
      <c r="J718" s="19">
        <f t="shared" si="129"/>
        <v>0.03281874318924806</v>
      </c>
      <c r="K718" s="95" t="s">
        <v>217</v>
      </c>
      <c r="L718" s="119"/>
      <c r="M718" s="20">
        <f t="shared" si="130"/>
        <v>53.847</v>
      </c>
      <c r="N718" s="118">
        <v>71.25</v>
      </c>
      <c r="O718" s="116"/>
      <c r="P718" s="116" t="s">
        <v>169</v>
      </c>
      <c r="Q718" s="117"/>
      <c r="R718" s="118"/>
      <c r="S718" s="117"/>
      <c r="T718" s="116"/>
      <c r="V718" s="15"/>
    </row>
    <row r="719" spans="1:23" s="114" customFormat="1" ht="15">
      <c r="A719" s="12" t="s">
        <v>169</v>
      </c>
      <c r="B719" s="65">
        <v>42103.433333333334</v>
      </c>
      <c r="C719" s="14">
        <v>59.27</v>
      </c>
      <c r="D719" s="15">
        <v>125</v>
      </c>
      <c r="E719" s="15">
        <f t="shared" si="126"/>
        <v>7419.75</v>
      </c>
      <c r="F719" s="13"/>
      <c r="G719" s="14">
        <v>59.86</v>
      </c>
      <c r="H719" s="15">
        <f t="shared" si="127"/>
        <v>7482.5</v>
      </c>
      <c r="I719" s="16">
        <f t="shared" si="128"/>
        <v>62.75</v>
      </c>
      <c r="J719" s="19">
        <f t="shared" si="129"/>
        <v>0.008457158260049193</v>
      </c>
      <c r="K719" s="95" t="s">
        <v>216</v>
      </c>
      <c r="L719" s="119"/>
      <c r="M719" s="20">
        <f t="shared" si="130"/>
        <v>55.121100000000006</v>
      </c>
      <c r="N719" s="118">
        <v>71.25</v>
      </c>
      <c r="O719" s="116"/>
      <c r="P719" s="116" t="s">
        <v>169</v>
      </c>
      <c r="Q719" s="117"/>
      <c r="R719" s="118"/>
      <c r="S719" s="117"/>
      <c r="T719" s="116"/>
      <c r="V719" s="15"/>
      <c r="W719" s="29"/>
    </row>
    <row r="720" spans="1:22" s="114" customFormat="1" ht="15">
      <c r="A720" s="12" t="s">
        <v>45</v>
      </c>
      <c r="B720" s="65">
        <v>42080.325694444444</v>
      </c>
      <c r="C720" s="14">
        <v>20.12</v>
      </c>
      <c r="D720" s="15">
        <v>1000</v>
      </c>
      <c r="E720" s="15">
        <f t="shared" si="126"/>
        <v>20131</v>
      </c>
      <c r="F720" s="13"/>
      <c r="G720" s="14">
        <v>33.7</v>
      </c>
      <c r="H720" s="15">
        <f t="shared" si="127"/>
        <v>33700</v>
      </c>
      <c r="I720" s="16">
        <f t="shared" si="128"/>
        <v>13569</v>
      </c>
      <c r="J720" s="19">
        <f t="shared" si="129"/>
        <v>0.6740350702896031</v>
      </c>
      <c r="K720" s="95" t="s">
        <v>186</v>
      </c>
      <c r="L720" s="119">
        <v>32.46</v>
      </c>
      <c r="M720" s="41">
        <f t="shared" si="130"/>
        <v>18.7116</v>
      </c>
      <c r="N720" s="118">
        <v>32</v>
      </c>
      <c r="O720" s="121">
        <v>42159</v>
      </c>
      <c r="P720" s="116" t="s">
        <v>45</v>
      </c>
      <c r="Q720" s="117">
        <v>37.97</v>
      </c>
      <c r="R720" s="118">
        <f>Q720*0.855</f>
        <v>32.464349999999996</v>
      </c>
      <c r="S720" s="117">
        <f>1.11*C720</f>
        <v>22.3332</v>
      </c>
      <c r="T720" s="116"/>
      <c r="U720" s="117"/>
      <c r="V720" s="15"/>
    </row>
    <row r="721" spans="1:22" s="114" customFormat="1" ht="15">
      <c r="A721" s="12" t="s">
        <v>45</v>
      </c>
      <c r="B721" s="65">
        <v>42081.30972222222</v>
      </c>
      <c r="C721" s="14">
        <v>21.46</v>
      </c>
      <c r="D721" s="15">
        <v>500</v>
      </c>
      <c r="E721" s="15">
        <f t="shared" si="126"/>
        <v>10741</v>
      </c>
      <c r="F721" s="13"/>
      <c r="G721" s="14">
        <v>33.7</v>
      </c>
      <c r="H721" s="15">
        <f t="shared" si="127"/>
        <v>16850</v>
      </c>
      <c r="I721" s="16">
        <f t="shared" si="128"/>
        <v>6109</v>
      </c>
      <c r="J721" s="19">
        <f t="shared" si="129"/>
        <v>0.5687552369425566</v>
      </c>
      <c r="K721" s="95" t="s">
        <v>198</v>
      </c>
      <c r="L721" s="119">
        <v>32.46</v>
      </c>
      <c r="M721" s="41">
        <f t="shared" si="130"/>
        <v>19.957800000000002</v>
      </c>
      <c r="N721" s="118">
        <v>32</v>
      </c>
      <c r="O721" s="116"/>
      <c r="P721" s="116" t="s">
        <v>45</v>
      </c>
      <c r="Q721" s="117"/>
      <c r="R721" s="118"/>
      <c r="S721" s="117"/>
      <c r="T721" s="116"/>
      <c r="V721" s="15"/>
    </row>
    <row r="722" spans="1:22" s="114" customFormat="1" ht="15">
      <c r="A722" s="12" t="s">
        <v>45</v>
      </c>
      <c r="B722" s="65">
        <v>42082.32986111111</v>
      </c>
      <c r="C722" s="14">
        <v>23.1</v>
      </c>
      <c r="D722" s="15">
        <v>780</v>
      </c>
      <c r="E722" s="15">
        <f t="shared" si="126"/>
        <v>18029</v>
      </c>
      <c r="F722" s="13"/>
      <c r="G722" s="14">
        <v>33.7</v>
      </c>
      <c r="H722" s="15">
        <f t="shared" si="127"/>
        <v>26286.000000000004</v>
      </c>
      <c r="I722" s="16">
        <f t="shared" si="128"/>
        <v>8257.000000000004</v>
      </c>
      <c r="J722" s="19">
        <f t="shared" si="129"/>
        <v>0.457984358533474</v>
      </c>
      <c r="K722" s="95" t="s">
        <v>188</v>
      </c>
      <c r="L722" s="119">
        <v>32.46</v>
      </c>
      <c r="M722" s="41">
        <f t="shared" si="130"/>
        <v>21.483000000000004</v>
      </c>
      <c r="N722" s="118">
        <v>32</v>
      </c>
      <c r="O722" s="116"/>
      <c r="P722" s="116" t="s">
        <v>45</v>
      </c>
      <c r="Q722" s="117"/>
      <c r="R722" s="118"/>
      <c r="S722" s="117"/>
      <c r="T722" s="116"/>
      <c r="V722" s="15"/>
    </row>
    <row r="723" spans="1:22" s="114" customFormat="1" ht="15">
      <c r="A723" s="12" t="s">
        <v>45</v>
      </c>
      <c r="B723" s="65">
        <v>42090.27291666667</v>
      </c>
      <c r="C723" s="14">
        <v>23.65</v>
      </c>
      <c r="D723" s="15">
        <v>510</v>
      </c>
      <c r="E723" s="15">
        <f t="shared" si="126"/>
        <v>12072.5</v>
      </c>
      <c r="F723" s="13"/>
      <c r="G723" s="14">
        <v>33.7</v>
      </c>
      <c r="H723" s="15">
        <f t="shared" si="127"/>
        <v>17187</v>
      </c>
      <c r="I723" s="16">
        <f t="shared" si="128"/>
        <v>5114.5</v>
      </c>
      <c r="J723" s="19">
        <f t="shared" si="129"/>
        <v>0.4236487885690619</v>
      </c>
      <c r="K723" s="95" t="s">
        <v>199</v>
      </c>
      <c r="L723" s="119">
        <v>32.46</v>
      </c>
      <c r="M723" s="41">
        <f t="shared" si="130"/>
        <v>21.9945</v>
      </c>
      <c r="N723" s="118">
        <v>32</v>
      </c>
      <c r="O723" s="116"/>
      <c r="P723" s="116" t="s">
        <v>45</v>
      </c>
      <c r="Q723" s="117"/>
      <c r="R723" s="118"/>
      <c r="S723" s="117"/>
      <c r="T723" s="116"/>
      <c r="V723" s="15"/>
    </row>
    <row r="724" spans="1:22" s="114" customFormat="1" ht="15">
      <c r="A724" s="12" t="s">
        <v>45</v>
      </c>
      <c r="B724" s="65">
        <v>42102.27916666667</v>
      </c>
      <c r="C724" s="14">
        <v>26.2</v>
      </c>
      <c r="D724" s="15">
        <v>560</v>
      </c>
      <c r="E724" s="15">
        <f t="shared" si="126"/>
        <v>14683</v>
      </c>
      <c r="F724" s="13"/>
      <c r="G724" s="14">
        <v>33.7</v>
      </c>
      <c r="H724" s="15">
        <f t="shared" si="127"/>
        <v>18872</v>
      </c>
      <c r="I724" s="16">
        <f t="shared" si="128"/>
        <v>4189</v>
      </c>
      <c r="J724" s="19">
        <f t="shared" si="129"/>
        <v>0.2852959204522237</v>
      </c>
      <c r="K724" s="95" t="s">
        <v>218</v>
      </c>
      <c r="L724" s="119">
        <v>32.46</v>
      </c>
      <c r="M724" s="41">
        <f t="shared" si="130"/>
        <v>24.366</v>
      </c>
      <c r="N724" s="118">
        <v>32</v>
      </c>
      <c r="O724" s="116"/>
      <c r="P724" s="116" t="s">
        <v>45</v>
      </c>
      <c r="Q724" s="117"/>
      <c r="R724" s="118"/>
      <c r="S724" s="117"/>
      <c r="T724" s="116"/>
      <c r="V724" s="15"/>
    </row>
    <row r="725" spans="1:22" s="114" customFormat="1" ht="15">
      <c r="A725" s="12" t="s">
        <v>45</v>
      </c>
      <c r="B725" s="65">
        <v>42109.40833333333</v>
      </c>
      <c r="C725" s="14">
        <v>29.02</v>
      </c>
      <c r="D725" s="15">
        <v>670</v>
      </c>
      <c r="E725" s="15">
        <f t="shared" si="126"/>
        <v>19454.4</v>
      </c>
      <c r="F725" s="13"/>
      <c r="G725" s="14">
        <v>33.7</v>
      </c>
      <c r="H725" s="15">
        <f t="shared" si="127"/>
        <v>22579.000000000004</v>
      </c>
      <c r="I725" s="16">
        <f t="shared" si="128"/>
        <v>3124.600000000002</v>
      </c>
      <c r="J725" s="19">
        <f t="shared" si="129"/>
        <v>0.16061148120733623</v>
      </c>
      <c r="K725" s="95" t="s">
        <v>245</v>
      </c>
      <c r="L725" s="119">
        <v>32.46</v>
      </c>
      <c r="M725" s="41">
        <f t="shared" si="130"/>
        <v>26.9886</v>
      </c>
      <c r="N725" s="118">
        <v>32</v>
      </c>
      <c r="O725" s="116"/>
      <c r="P725" s="116" t="s">
        <v>45</v>
      </c>
      <c r="Q725" s="117"/>
      <c r="R725" s="118"/>
      <c r="S725" s="117"/>
      <c r="T725" s="116"/>
      <c r="V725" s="15"/>
    </row>
    <row r="726" spans="1:23" s="114" customFormat="1" ht="15">
      <c r="A726" s="12" t="s">
        <v>45</v>
      </c>
      <c r="B726" s="65">
        <v>42115.27291666667</v>
      </c>
      <c r="C726" s="14">
        <v>31.27</v>
      </c>
      <c r="D726" s="15">
        <v>670</v>
      </c>
      <c r="E726" s="15">
        <f t="shared" si="126"/>
        <v>20961.9</v>
      </c>
      <c r="F726" s="13"/>
      <c r="G726" s="14">
        <v>33.7</v>
      </c>
      <c r="H726" s="15">
        <f t="shared" si="127"/>
        <v>22579.000000000004</v>
      </c>
      <c r="I726" s="16">
        <f t="shared" si="128"/>
        <v>1617.1000000000022</v>
      </c>
      <c r="J726" s="19">
        <f t="shared" si="129"/>
        <v>0.07714472447631188</v>
      </c>
      <c r="K726" s="95" t="s">
        <v>235</v>
      </c>
      <c r="L726" s="119">
        <v>32.46</v>
      </c>
      <c r="M726" s="41">
        <f t="shared" si="130"/>
        <v>29.081100000000003</v>
      </c>
      <c r="N726" s="118">
        <v>32</v>
      </c>
      <c r="O726" s="116"/>
      <c r="P726" s="116" t="s">
        <v>45</v>
      </c>
      <c r="Q726" s="117"/>
      <c r="R726" s="118"/>
      <c r="S726" s="117"/>
      <c r="T726" s="116"/>
      <c r="V726" s="15"/>
      <c r="W726" s="29"/>
    </row>
    <row r="727" spans="1:22" s="114" customFormat="1" ht="15">
      <c r="A727" s="12" t="s">
        <v>208</v>
      </c>
      <c r="B727" s="65">
        <v>42090.308333333334</v>
      </c>
      <c r="C727" s="14">
        <v>214</v>
      </c>
      <c r="D727" s="15">
        <v>95</v>
      </c>
      <c r="E727" s="15">
        <f t="shared" si="126"/>
        <v>20341</v>
      </c>
      <c r="F727" s="13"/>
      <c r="G727" s="14">
        <v>224.4</v>
      </c>
      <c r="H727" s="15">
        <f t="shared" si="127"/>
        <v>21318</v>
      </c>
      <c r="I727" s="16">
        <f t="shared" si="128"/>
        <v>977</v>
      </c>
      <c r="J727" s="19">
        <f t="shared" si="129"/>
        <v>0.04803107025219999</v>
      </c>
      <c r="K727" s="95" t="s">
        <v>212</v>
      </c>
      <c r="L727" s="119"/>
      <c r="M727" s="20">
        <f t="shared" si="130"/>
        <v>199.02</v>
      </c>
      <c r="N727" s="118">
        <v>267.7</v>
      </c>
      <c r="O727" s="121">
        <v>42136</v>
      </c>
      <c r="P727" s="116" t="s">
        <v>208</v>
      </c>
      <c r="Q727" s="117">
        <v>230.7</v>
      </c>
      <c r="R727" s="118">
        <f>Q727*0.855</f>
        <v>197.24849999999998</v>
      </c>
      <c r="S727" s="117">
        <f>1.11*C727</f>
        <v>237.54000000000002</v>
      </c>
      <c r="T727" s="116"/>
      <c r="U727" s="117"/>
      <c r="V727" s="15"/>
    </row>
    <row r="728" spans="1:22" s="114" customFormat="1" ht="15">
      <c r="A728" s="12" t="s">
        <v>208</v>
      </c>
      <c r="B728" s="65">
        <v>42093.29305555556</v>
      </c>
      <c r="C728" s="14">
        <v>219.41</v>
      </c>
      <c r="D728" s="15">
        <v>55</v>
      </c>
      <c r="E728" s="15">
        <f t="shared" si="126"/>
        <v>12078.55</v>
      </c>
      <c r="F728" s="13"/>
      <c r="G728" s="14">
        <v>224.4</v>
      </c>
      <c r="H728" s="15">
        <f t="shared" si="127"/>
        <v>12342</v>
      </c>
      <c r="I728" s="16">
        <f t="shared" si="128"/>
        <v>263.4500000000007</v>
      </c>
      <c r="J728" s="19">
        <f t="shared" si="129"/>
        <v>0.02181139292381956</v>
      </c>
      <c r="K728" s="95" t="s">
        <v>211</v>
      </c>
      <c r="L728" s="119"/>
      <c r="M728" s="20">
        <f t="shared" si="130"/>
        <v>204.0513</v>
      </c>
      <c r="N728" s="118">
        <v>267.7</v>
      </c>
      <c r="O728" s="116"/>
      <c r="P728" s="116" t="s">
        <v>208</v>
      </c>
      <c r="Q728" s="117"/>
      <c r="R728" s="118"/>
      <c r="S728" s="117"/>
      <c r="T728" s="116"/>
      <c r="V728" s="15"/>
    </row>
    <row r="729" spans="1:23" s="114" customFormat="1" ht="15">
      <c r="A729" s="12" t="s">
        <v>208</v>
      </c>
      <c r="B729" s="65">
        <v>42117.27569444444</v>
      </c>
      <c r="C729" s="14">
        <v>226.35</v>
      </c>
      <c r="D729" s="15">
        <v>35</v>
      </c>
      <c r="E729" s="15">
        <f t="shared" si="126"/>
        <v>7933.25</v>
      </c>
      <c r="F729" s="13"/>
      <c r="G729" s="14">
        <v>224.4</v>
      </c>
      <c r="H729" s="15">
        <f t="shared" si="127"/>
        <v>7854</v>
      </c>
      <c r="I729" s="16">
        <f t="shared" si="128"/>
        <v>-79.25</v>
      </c>
      <c r="J729" s="19">
        <f t="shared" si="129"/>
        <v>-0.009989600731100116</v>
      </c>
      <c r="K729" s="95" t="s">
        <v>236</v>
      </c>
      <c r="L729" s="119"/>
      <c r="M729" s="20">
        <f t="shared" si="130"/>
        <v>210.5055</v>
      </c>
      <c r="N729" s="118">
        <v>267.7</v>
      </c>
      <c r="O729" s="116"/>
      <c r="P729" s="116" t="s">
        <v>208</v>
      </c>
      <c r="Q729" s="117"/>
      <c r="R729" s="118"/>
      <c r="S729" s="117"/>
      <c r="T729" s="116"/>
      <c r="V729" s="15"/>
      <c r="W729" s="29"/>
    </row>
    <row r="730" spans="1:22" s="114" customFormat="1" ht="15">
      <c r="A730" s="12" t="s">
        <v>49</v>
      </c>
      <c r="B730" s="65">
        <v>42117.345138888886</v>
      </c>
      <c r="C730" s="14">
        <v>117.5</v>
      </c>
      <c r="D730" s="15">
        <v>215</v>
      </c>
      <c r="E730" s="15">
        <f t="shared" si="126"/>
        <v>25273.5</v>
      </c>
      <c r="F730" s="13"/>
      <c r="G730" s="14">
        <v>146.2</v>
      </c>
      <c r="H730" s="15">
        <f t="shared" si="127"/>
        <v>31432.999999999996</v>
      </c>
      <c r="I730" s="16">
        <f t="shared" si="128"/>
        <v>6159.499999999996</v>
      </c>
      <c r="J730" s="19">
        <f t="shared" si="129"/>
        <v>0.24371377134152358</v>
      </c>
      <c r="K730" s="95" t="s">
        <v>230</v>
      </c>
      <c r="L730" s="119">
        <v>128.51</v>
      </c>
      <c r="M730" s="41">
        <f t="shared" si="130"/>
        <v>109.275</v>
      </c>
      <c r="N730" s="118">
        <v>148.09</v>
      </c>
      <c r="O730" s="121">
        <v>42159</v>
      </c>
      <c r="P730" s="116" t="s">
        <v>49</v>
      </c>
      <c r="Q730" s="117">
        <v>150.3</v>
      </c>
      <c r="R730" s="118">
        <f>Q730*0.855</f>
        <v>128.50650000000002</v>
      </c>
      <c r="S730" s="117">
        <f>1.11*C730</f>
        <v>130.425</v>
      </c>
      <c r="T730" s="116"/>
      <c r="U730" s="117"/>
      <c r="V730" s="15"/>
    </row>
    <row r="731" spans="1:22" s="114" customFormat="1" ht="15">
      <c r="A731" s="12" t="s">
        <v>49</v>
      </c>
      <c r="B731" s="65">
        <v>42118.274305555555</v>
      </c>
      <c r="C731" s="14">
        <v>119.93</v>
      </c>
      <c r="D731" s="15">
        <v>125</v>
      </c>
      <c r="E731" s="15">
        <f t="shared" si="126"/>
        <v>15002.25</v>
      </c>
      <c r="F731" s="13"/>
      <c r="G731" s="14">
        <v>146.2</v>
      </c>
      <c r="H731" s="15">
        <f t="shared" si="127"/>
        <v>18275</v>
      </c>
      <c r="I731" s="16">
        <f t="shared" si="128"/>
        <v>3272.75</v>
      </c>
      <c r="J731" s="19">
        <f t="shared" si="129"/>
        <v>0.21815061074172207</v>
      </c>
      <c r="K731" s="95" t="s">
        <v>231</v>
      </c>
      <c r="L731" s="119">
        <v>128.51</v>
      </c>
      <c r="M731" s="41">
        <f t="shared" si="130"/>
        <v>111.53490000000001</v>
      </c>
      <c r="N731" s="118">
        <v>148.09</v>
      </c>
      <c r="O731" s="116"/>
      <c r="P731" s="116" t="s">
        <v>49</v>
      </c>
      <c r="Q731" s="117"/>
      <c r="R731" s="118"/>
      <c r="S731" s="117"/>
      <c r="T731" s="116"/>
      <c r="V731" s="15"/>
    </row>
    <row r="732" spans="1:22" s="114" customFormat="1" ht="15">
      <c r="A732" s="12" t="s">
        <v>49</v>
      </c>
      <c r="B732" s="65">
        <v>42118.285416666666</v>
      </c>
      <c r="C732" s="14">
        <v>122.62</v>
      </c>
      <c r="D732" s="15">
        <v>80</v>
      </c>
      <c r="E732" s="15">
        <f t="shared" si="126"/>
        <v>9820.6</v>
      </c>
      <c r="F732" s="13"/>
      <c r="G732" s="14">
        <v>146.2</v>
      </c>
      <c r="H732" s="15">
        <f t="shared" si="127"/>
        <v>11696</v>
      </c>
      <c r="I732" s="16">
        <f t="shared" si="128"/>
        <v>1875.3999999999996</v>
      </c>
      <c r="J732" s="19">
        <f t="shared" si="129"/>
        <v>0.19096592876199006</v>
      </c>
      <c r="K732" s="95" t="s">
        <v>232</v>
      </c>
      <c r="L732" s="119">
        <v>128.51</v>
      </c>
      <c r="M732" s="41">
        <f t="shared" si="130"/>
        <v>114.0366</v>
      </c>
      <c r="N732" s="118">
        <v>148.09</v>
      </c>
      <c r="O732" s="116"/>
      <c r="P732" s="116" t="s">
        <v>49</v>
      </c>
      <c r="Q732" s="117"/>
      <c r="R732" s="118"/>
      <c r="S732" s="117"/>
      <c r="T732" s="116"/>
      <c r="V732" s="15"/>
    </row>
    <row r="733" spans="1:23" s="114" customFormat="1" ht="15">
      <c r="A733" s="12" t="s">
        <v>49</v>
      </c>
      <c r="B733" s="65">
        <v>42138.27222222222</v>
      </c>
      <c r="C733" s="14">
        <v>138.86</v>
      </c>
      <c r="D733" s="15">
        <v>85</v>
      </c>
      <c r="E733" s="15">
        <f t="shared" si="126"/>
        <v>11814.1</v>
      </c>
      <c r="F733" s="13"/>
      <c r="G733" s="14">
        <v>146.2</v>
      </c>
      <c r="H733" s="15">
        <f t="shared" si="127"/>
        <v>12426.999999999998</v>
      </c>
      <c r="I733" s="16">
        <f t="shared" si="128"/>
        <v>612.8999999999978</v>
      </c>
      <c r="J733" s="19">
        <f t="shared" si="129"/>
        <v>0.051878687331239605</v>
      </c>
      <c r="K733" s="95" t="s">
        <v>242</v>
      </c>
      <c r="L733" s="119"/>
      <c r="M733" s="20">
        <f t="shared" si="130"/>
        <v>129.1398</v>
      </c>
      <c r="N733" s="118"/>
      <c r="O733" s="116"/>
      <c r="P733" s="116"/>
      <c r="Q733" s="117"/>
      <c r="R733" s="118"/>
      <c r="S733" s="117"/>
      <c r="T733" s="116"/>
      <c r="V733" s="15"/>
      <c r="W733" s="29"/>
    </row>
    <row r="734" spans="1:20" s="114" customFormat="1" ht="15">
      <c r="A734" s="12"/>
      <c r="B734" s="13"/>
      <c r="C734" s="14"/>
      <c r="D734" s="15"/>
      <c r="E734" s="15"/>
      <c r="F734" s="13"/>
      <c r="G734" s="14"/>
      <c r="H734" s="15"/>
      <c r="I734" s="16"/>
      <c r="J734" s="19"/>
      <c r="K734" s="95"/>
      <c r="L734" s="119"/>
      <c r="M734" s="32"/>
      <c r="N734" s="118"/>
      <c r="Q734" s="117"/>
      <c r="R734" s="117"/>
      <c r="S734" s="117"/>
      <c r="T734" s="116"/>
    </row>
    <row r="735" spans="1:20" s="114" customFormat="1" ht="15">
      <c r="A735" s="21" t="s">
        <v>14</v>
      </c>
      <c r="B735" s="22"/>
      <c r="C735" s="23"/>
      <c r="D735" s="24"/>
      <c r="E735" s="24">
        <f>SUM(E694:E734)</f>
        <v>468024.14999999997</v>
      </c>
      <c r="F735" s="22"/>
      <c r="G735" s="23"/>
      <c r="H735" s="24">
        <f>SUM(H694:H734)</f>
        <v>584112.2999999999</v>
      </c>
      <c r="I735" s="25">
        <f>SUM(I694:I734)</f>
        <v>116088.15000000001</v>
      </c>
      <c r="J735" s="26">
        <f>I735/E735</f>
        <v>0.24803880312586438</v>
      </c>
      <c r="K735" s="27" t="s">
        <v>15</v>
      </c>
      <c r="L735" s="28">
        <f>100000+I737</f>
        <v>251969.31</v>
      </c>
      <c r="M735" s="81"/>
      <c r="N735" s="89"/>
      <c r="Q735" s="117"/>
      <c r="R735" s="117"/>
      <c r="S735" s="117"/>
      <c r="T735" s="116"/>
    </row>
    <row r="736" spans="1:20" s="114" customFormat="1" ht="15">
      <c r="A736" s="12" t="s">
        <v>67</v>
      </c>
      <c r="B736" s="22"/>
      <c r="C736" s="25">
        <f>I737-I689</f>
        <v>746.25</v>
      </c>
      <c r="D736" s="26">
        <f>C736/H687</f>
        <v>0.0012950219702538008</v>
      </c>
      <c r="E736" s="24"/>
      <c r="F736" s="22" t="s">
        <v>16</v>
      </c>
      <c r="G736" s="117"/>
      <c r="H736" s="29" t="str">
        <f>IF(ABS(H735-E735-I735)&lt;1,"","ERROR")</f>
        <v/>
      </c>
      <c r="I736" s="30">
        <v>35881.159999999996</v>
      </c>
      <c r="J736" s="26"/>
      <c r="K736" s="111" t="s">
        <v>17</v>
      </c>
      <c r="L736" s="28">
        <f>(2*(100000+I737))-E735</f>
        <v>35914.47000000003</v>
      </c>
      <c r="M736" s="31"/>
      <c r="Q736" s="117"/>
      <c r="R736" s="117"/>
      <c r="S736" s="117"/>
      <c r="T736" s="116"/>
    </row>
    <row r="737" spans="1:20" s="114" customFormat="1" ht="15">
      <c r="A737" s="12" t="s">
        <v>54</v>
      </c>
      <c r="B737" s="22"/>
      <c r="C737" s="25">
        <f>L735-L687</f>
        <v>746.25</v>
      </c>
      <c r="D737" s="26">
        <f>C737/L687</f>
        <v>0.0029704677588116312</v>
      </c>
      <c r="E737" s="24"/>
      <c r="F737" s="22" t="s">
        <v>18</v>
      </c>
      <c r="G737" s="117"/>
      <c r="H737" s="29"/>
      <c r="I737" s="30">
        <f>I735+I736</f>
        <v>151969.31</v>
      </c>
      <c r="J737" s="26">
        <f>I737/100000</f>
        <v>1.5196931</v>
      </c>
      <c r="K737" s="111" t="s">
        <v>19</v>
      </c>
      <c r="L737" s="26">
        <f>E735/(2*(100000+I737))</f>
        <v>0.9287324515830916</v>
      </c>
      <c r="M737" s="31"/>
      <c r="Q737" s="117"/>
      <c r="R737" s="117"/>
      <c r="S737" s="117"/>
      <c r="T737" s="116"/>
    </row>
    <row r="738" spans="2:20" s="114" customFormat="1" ht="15">
      <c r="B738" s="22"/>
      <c r="C738" s="25"/>
      <c r="D738" s="26"/>
      <c r="E738" s="24"/>
      <c r="F738" s="22"/>
      <c r="G738" s="117"/>
      <c r="H738" s="29"/>
      <c r="I738" s="30"/>
      <c r="J738" s="26"/>
      <c r="K738" s="111"/>
      <c r="L738" s="26"/>
      <c r="M738" s="31"/>
      <c r="Q738" s="117"/>
      <c r="R738" s="117"/>
      <c r="S738" s="117"/>
      <c r="T738" s="116"/>
    </row>
    <row r="739" spans="2:20" s="114" customFormat="1" ht="15">
      <c r="B739" s="22"/>
      <c r="C739" s="25"/>
      <c r="D739" s="26"/>
      <c r="E739" s="24"/>
      <c r="F739" s="22"/>
      <c r="G739" s="117"/>
      <c r="H739" s="29"/>
      <c r="I739" s="30"/>
      <c r="J739" s="26"/>
      <c r="K739" s="111"/>
      <c r="L739" s="26"/>
      <c r="M739" s="31"/>
      <c r="Q739" s="117"/>
      <c r="R739" s="117"/>
      <c r="S739" s="117"/>
      <c r="T739" s="116"/>
    </row>
    <row r="740" spans="1:20" s="114" customFormat="1" ht="30.75" customHeight="1">
      <c r="A740" s="108" t="s">
        <v>56</v>
      </c>
      <c r="B740" s="384" t="s">
        <v>248</v>
      </c>
      <c r="C740" s="384"/>
      <c r="D740" s="384"/>
      <c r="E740" s="384"/>
      <c r="F740" s="384"/>
      <c r="G740" s="384"/>
      <c r="H740" s="384"/>
      <c r="I740" s="384"/>
      <c r="J740" s="384"/>
      <c r="K740" s="384"/>
      <c r="L740" s="384"/>
      <c r="M740" s="384"/>
      <c r="N740" s="384"/>
      <c r="O740" s="92"/>
      <c r="P740" s="92"/>
      <c r="Q740" s="104"/>
      <c r="R740" s="104"/>
      <c r="S740" s="107"/>
      <c r="T740" s="109"/>
    </row>
    <row r="741" spans="1:22" s="114" customFormat="1" ht="15">
      <c r="A741" s="2" t="s">
        <v>0</v>
      </c>
      <c r="B741" s="3" t="s">
        <v>1</v>
      </c>
      <c r="C741" s="4" t="s">
        <v>2</v>
      </c>
      <c r="D741" s="5" t="s">
        <v>3</v>
      </c>
      <c r="E741" s="6" t="s">
        <v>4</v>
      </c>
      <c r="F741" s="3" t="s">
        <v>5</v>
      </c>
      <c r="G741" s="7" t="s">
        <v>2</v>
      </c>
      <c r="H741" s="6" t="s">
        <v>6</v>
      </c>
      <c r="I741" s="6" t="s">
        <v>7</v>
      </c>
      <c r="J741" s="8" t="s">
        <v>8</v>
      </c>
      <c r="K741" s="9" t="s">
        <v>9</v>
      </c>
      <c r="L741" s="10" t="s">
        <v>10</v>
      </c>
      <c r="M741" s="11" t="s">
        <v>11</v>
      </c>
      <c r="N741" s="103" t="s">
        <v>53</v>
      </c>
      <c r="O741" s="105" t="s">
        <v>110</v>
      </c>
      <c r="P741" s="106" t="s">
        <v>0</v>
      </c>
      <c r="Q741" s="117" t="s">
        <v>13</v>
      </c>
      <c r="R741" s="117" t="s">
        <v>70</v>
      </c>
      <c r="S741" s="111" t="s">
        <v>103</v>
      </c>
      <c r="T741" s="116" t="s">
        <v>107</v>
      </c>
      <c r="V741" s="9"/>
    </row>
    <row r="742" spans="1:22" s="114" customFormat="1" ht="15">
      <c r="A742" s="12" t="s">
        <v>80</v>
      </c>
      <c r="B742" s="65">
        <v>42011.30486111111</v>
      </c>
      <c r="C742" s="14">
        <v>58.02</v>
      </c>
      <c r="D742" s="15">
        <v>250</v>
      </c>
      <c r="E742" s="15">
        <f aca="true" t="shared" si="131" ref="E742:E782">C742*D742+11</f>
        <v>14516</v>
      </c>
      <c r="F742" s="13"/>
      <c r="G742" s="14">
        <v>105.87</v>
      </c>
      <c r="H742" s="15">
        <f aca="true" t="shared" si="132" ref="H742:H782">G742*D742</f>
        <v>26467.5</v>
      </c>
      <c r="I742" s="16">
        <f aca="true" t="shared" si="133" ref="I742:I782">H742-E742</f>
        <v>11951.5</v>
      </c>
      <c r="J742" s="19">
        <f aca="true" t="shared" si="134" ref="J742:J782">I742/E742</f>
        <v>0.8233328740699918</v>
      </c>
      <c r="K742" s="141" t="s">
        <v>239</v>
      </c>
      <c r="L742" s="140" t="s">
        <v>51</v>
      </c>
      <c r="M742" s="41">
        <f aca="true" t="shared" si="135" ref="M742:M782">C742*0.93</f>
        <v>53.958600000000004</v>
      </c>
      <c r="N742" s="118">
        <v>76.6</v>
      </c>
      <c r="O742" s="121">
        <v>42090</v>
      </c>
      <c r="P742" s="116" t="s">
        <v>80</v>
      </c>
      <c r="Q742" s="117">
        <v>108.24</v>
      </c>
      <c r="R742" s="118">
        <f>Q742*0.855</f>
        <v>92.5452</v>
      </c>
      <c r="S742" s="117">
        <f>1.11*C742</f>
        <v>64.40220000000001</v>
      </c>
      <c r="T742" s="116"/>
      <c r="U742" s="117"/>
      <c r="V742" s="15"/>
    </row>
    <row r="743" spans="1:22" s="114" customFormat="1" ht="15">
      <c r="A743" s="12" t="s">
        <v>80</v>
      </c>
      <c r="B743" s="65">
        <v>42011.40694444445</v>
      </c>
      <c r="C743" s="14">
        <v>59.16</v>
      </c>
      <c r="D743" s="15">
        <v>150</v>
      </c>
      <c r="E743" s="15">
        <f t="shared" si="131"/>
        <v>8885</v>
      </c>
      <c r="F743" s="13"/>
      <c r="G743" s="14">
        <v>105.87</v>
      </c>
      <c r="H743" s="15">
        <f t="shared" si="132"/>
        <v>15880.5</v>
      </c>
      <c r="I743" s="16">
        <f t="shared" si="133"/>
        <v>6995.5</v>
      </c>
      <c r="J743" s="122">
        <f t="shared" si="134"/>
        <v>0.7873382104670793</v>
      </c>
      <c r="K743" s="95" t="s">
        <v>82</v>
      </c>
      <c r="L743" s="140" t="s">
        <v>51</v>
      </c>
      <c r="M743" s="41">
        <f t="shared" si="135"/>
        <v>55.0188</v>
      </c>
      <c r="N743" s="118">
        <v>77.93</v>
      </c>
      <c r="O743" s="116"/>
      <c r="P743" s="116" t="s">
        <v>80</v>
      </c>
      <c r="Q743" s="117"/>
      <c r="R743" s="118"/>
      <c r="S743" s="117"/>
      <c r="T743" s="116"/>
      <c r="V743" s="15"/>
    </row>
    <row r="744" spans="1:22" s="114" customFormat="1" ht="15">
      <c r="A744" s="12" t="s">
        <v>80</v>
      </c>
      <c r="B744" s="65">
        <v>42012.29305555556</v>
      </c>
      <c r="C744" s="14">
        <v>60.3</v>
      </c>
      <c r="D744" s="15">
        <v>100</v>
      </c>
      <c r="E744" s="15">
        <f t="shared" si="131"/>
        <v>6041</v>
      </c>
      <c r="F744" s="13"/>
      <c r="G744" s="14">
        <v>105.87</v>
      </c>
      <c r="H744" s="15">
        <f t="shared" si="132"/>
        <v>10587</v>
      </c>
      <c r="I744" s="16">
        <f t="shared" si="133"/>
        <v>4546</v>
      </c>
      <c r="J744" s="19">
        <f t="shared" si="134"/>
        <v>0.7525244164873365</v>
      </c>
      <c r="K744" s="95" t="s">
        <v>83</v>
      </c>
      <c r="L744" s="140" t="s">
        <v>51</v>
      </c>
      <c r="M744" s="41">
        <f t="shared" si="135"/>
        <v>56.079</v>
      </c>
      <c r="N744" s="118">
        <v>77.93</v>
      </c>
      <c r="O744" s="116"/>
      <c r="P744" s="116" t="s">
        <v>80</v>
      </c>
      <c r="Q744" s="117"/>
      <c r="R744" s="118"/>
      <c r="S744" s="117"/>
      <c r="T744" s="116"/>
      <c r="V744" s="15"/>
    </row>
    <row r="745" spans="1:22" s="114" customFormat="1" ht="15">
      <c r="A745" s="12" t="s">
        <v>80</v>
      </c>
      <c r="B745" s="65">
        <v>42047.271527777775</v>
      </c>
      <c r="C745" s="14">
        <v>64.65</v>
      </c>
      <c r="D745" s="15">
        <v>100</v>
      </c>
      <c r="E745" s="15">
        <f t="shared" si="131"/>
        <v>6476.000000000001</v>
      </c>
      <c r="F745" s="13"/>
      <c r="G745" s="14">
        <v>105.87</v>
      </c>
      <c r="H745" s="15">
        <f t="shared" si="132"/>
        <v>10587</v>
      </c>
      <c r="I745" s="16">
        <f t="shared" si="133"/>
        <v>4110.999999999999</v>
      </c>
      <c r="J745" s="19">
        <f t="shared" si="134"/>
        <v>0.6348054354539837</v>
      </c>
      <c r="K745" s="95" t="s">
        <v>132</v>
      </c>
      <c r="L745" s="140" t="s">
        <v>51</v>
      </c>
      <c r="M745" s="41">
        <f t="shared" si="135"/>
        <v>60.12450000000001</v>
      </c>
      <c r="N745" s="118">
        <v>77.93</v>
      </c>
      <c r="O745" s="116"/>
      <c r="P745" s="116" t="s">
        <v>80</v>
      </c>
      <c r="Q745" s="117"/>
      <c r="R745" s="118"/>
      <c r="S745" s="117"/>
      <c r="T745" s="116"/>
      <c r="V745" s="15"/>
    </row>
    <row r="746" spans="1:22" s="114" customFormat="1" ht="15">
      <c r="A746" s="12" t="s">
        <v>80</v>
      </c>
      <c r="B746" s="65">
        <v>42081.34097222222</v>
      </c>
      <c r="C746" s="14">
        <v>70</v>
      </c>
      <c r="D746" s="15">
        <v>120</v>
      </c>
      <c r="E746" s="15">
        <f t="shared" si="131"/>
        <v>8411</v>
      </c>
      <c r="F746" s="13"/>
      <c r="G746" s="14">
        <v>105.87</v>
      </c>
      <c r="H746" s="15">
        <f t="shared" si="132"/>
        <v>12704.400000000001</v>
      </c>
      <c r="I746" s="16">
        <f t="shared" si="133"/>
        <v>4293.4000000000015</v>
      </c>
      <c r="J746" s="19">
        <f t="shared" si="134"/>
        <v>0.5104506004042327</v>
      </c>
      <c r="K746" s="95" t="s">
        <v>181</v>
      </c>
      <c r="L746" s="140" t="s">
        <v>51</v>
      </c>
      <c r="M746" s="41">
        <f t="shared" si="135"/>
        <v>65.10000000000001</v>
      </c>
      <c r="N746" s="118">
        <v>77.93</v>
      </c>
      <c r="O746" s="116"/>
      <c r="P746" s="116" t="s">
        <v>80</v>
      </c>
      <c r="Q746" s="117"/>
      <c r="R746" s="118"/>
      <c r="S746" s="117"/>
      <c r="T746" s="116"/>
      <c r="V746" s="15"/>
    </row>
    <row r="747" spans="1:22" s="114" customFormat="1" ht="15">
      <c r="A747" s="12" t="s">
        <v>80</v>
      </c>
      <c r="B747" s="65">
        <v>42117.55694444444</v>
      </c>
      <c r="C747" s="14">
        <v>77.75</v>
      </c>
      <c r="D747" s="15">
        <v>150</v>
      </c>
      <c r="E747" s="15">
        <f t="shared" si="131"/>
        <v>11673.5</v>
      </c>
      <c r="F747" s="13"/>
      <c r="G747" s="14">
        <v>105.87</v>
      </c>
      <c r="H747" s="15">
        <f t="shared" si="132"/>
        <v>15880.5</v>
      </c>
      <c r="I747" s="16">
        <f t="shared" si="133"/>
        <v>4207</v>
      </c>
      <c r="J747" s="19">
        <f t="shared" si="134"/>
        <v>0.3603889150640339</v>
      </c>
      <c r="K747" s="95" t="s">
        <v>233</v>
      </c>
      <c r="L747" s="140" t="s">
        <v>51</v>
      </c>
      <c r="M747" s="41">
        <f t="shared" si="135"/>
        <v>72.3075</v>
      </c>
      <c r="N747" s="118">
        <v>77.93</v>
      </c>
      <c r="O747" s="116"/>
      <c r="P747" s="116" t="s">
        <v>80</v>
      </c>
      <c r="Q747" s="117"/>
      <c r="R747" s="118"/>
      <c r="S747" s="117"/>
      <c r="T747" s="116"/>
      <c r="V747" s="15"/>
    </row>
    <row r="748" spans="1:23" s="114" customFormat="1" ht="15">
      <c r="A748" s="12" t="s">
        <v>80</v>
      </c>
      <c r="B748" s="65">
        <v>42128.525</v>
      </c>
      <c r="C748" s="14">
        <v>93.09</v>
      </c>
      <c r="D748" s="15">
        <v>180</v>
      </c>
      <c r="E748" s="15">
        <f t="shared" si="131"/>
        <v>16767.2</v>
      </c>
      <c r="F748" s="13"/>
      <c r="G748" s="14">
        <v>105.87</v>
      </c>
      <c r="H748" s="15">
        <f t="shared" si="132"/>
        <v>19056.600000000002</v>
      </c>
      <c r="I748" s="16">
        <f t="shared" si="133"/>
        <v>2289.4000000000015</v>
      </c>
      <c r="J748" s="19">
        <f t="shared" si="134"/>
        <v>0.13654038837730817</v>
      </c>
      <c r="K748" s="95" t="s">
        <v>244</v>
      </c>
      <c r="L748" s="140" t="s">
        <v>51</v>
      </c>
      <c r="M748" s="41">
        <f t="shared" si="135"/>
        <v>86.5737</v>
      </c>
      <c r="N748" s="118">
        <v>77.93</v>
      </c>
      <c r="O748" s="116"/>
      <c r="P748" s="116" t="s">
        <v>80</v>
      </c>
      <c r="Q748" s="117"/>
      <c r="R748" s="118"/>
      <c r="S748" s="117"/>
      <c r="T748" s="116"/>
      <c r="V748" s="15"/>
      <c r="W748" s="29"/>
    </row>
    <row r="749" spans="1:22" s="114" customFormat="1" ht="15">
      <c r="A749" s="12" t="s">
        <v>61</v>
      </c>
      <c r="B749" s="65">
        <v>42040.27847222222</v>
      </c>
      <c r="C749" s="14">
        <v>132.85</v>
      </c>
      <c r="D749" s="15">
        <v>110</v>
      </c>
      <c r="E749" s="15">
        <f t="shared" si="131"/>
        <v>14624.5</v>
      </c>
      <c r="F749" s="65"/>
      <c r="G749" s="14">
        <v>152.62</v>
      </c>
      <c r="H749" s="15">
        <f t="shared" si="132"/>
        <v>16788.2</v>
      </c>
      <c r="I749" s="16">
        <f t="shared" si="133"/>
        <v>2163.7000000000007</v>
      </c>
      <c r="J749" s="19">
        <f t="shared" si="134"/>
        <v>0.14795035727717193</v>
      </c>
      <c r="K749" s="95" t="s">
        <v>134</v>
      </c>
      <c r="L749" s="119">
        <v>136.67</v>
      </c>
      <c r="M749" s="41">
        <f t="shared" si="135"/>
        <v>123.5505</v>
      </c>
      <c r="N749" s="118">
        <v>168.13</v>
      </c>
      <c r="O749" s="121">
        <v>42086</v>
      </c>
      <c r="P749" s="116" t="s">
        <v>61</v>
      </c>
      <c r="Q749" s="117">
        <v>159.85</v>
      </c>
      <c r="R749" s="118">
        <f>Q749*0.855</f>
        <v>136.67175</v>
      </c>
      <c r="S749" s="117">
        <f>1.11*C749</f>
        <v>147.4635</v>
      </c>
      <c r="T749" s="116"/>
      <c r="U749" s="117"/>
      <c r="V749" s="15"/>
    </row>
    <row r="750" spans="1:22" s="114" customFormat="1" ht="15">
      <c r="A750" s="12" t="s">
        <v>61</v>
      </c>
      <c r="B750" s="65">
        <v>42045.27291666667</v>
      </c>
      <c r="C750" s="14">
        <v>135.9</v>
      </c>
      <c r="D750" s="15">
        <v>65</v>
      </c>
      <c r="E750" s="15">
        <f t="shared" si="131"/>
        <v>8844.5</v>
      </c>
      <c r="F750" s="13"/>
      <c r="G750" s="14">
        <v>152.62</v>
      </c>
      <c r="H750" s="15">
        <f t="shared" si="132"/>
        <v>9920.300000000001</v>
      </c>
      <c r="I750" s="16">
        <f t="shared" si="133"/>
        <v>1075.800000000001</v>
      </c>
      <c r="J750" s="19">
        <f t="shared" si="134"/>
        <v>0.12163491435355318</v>
      </c>
      <c r="K750" s="95" t="s">
        <v>141</v>
      </c>
      <c r="L750" s="119">
        <v>136.67</v>
      </c>
      <c r="M750" s="41">
        <f t="shared" si="135"/>
        <v>126.38700000000001</v>
      </c>
      <c r="N750" s="118">
        <v>168.13</v>
      </c>
      <c r="O750" s="116"/>
      <c r="P750" s="116" t="s">
        <v>61</v>
      </c>
      <c r="Q750" s="117"/>
      <c r="R750" s="118"/>
      <c r="S750" s="117"/>
      <c r="T750" s="116"/>
      <c r="V750" s="15"/>
    </row>
    <row r="751" spans="1:22" s="114" customFormat="1" ht="15">
      <c r="A751" s="12" t="s">
        <v>61</v>
      </c>
      <c r="B751" s="65">
        <v>42054.277083333334</v>
      </c>
      <c r="C751" s="14">
        <v>139.17</v>
      </c>
      <c r="D751" s="15">
        <v>40</v>
      </c>
      <c r="E751" s="15">
        <f t="shared" si="131"/>
        <v>5577.799999999999</v>
      </c>
      <c r="F751" s="13"/>
      <c r="G751" s="14">
        <v>152.62</v>
      </c>
      <c r="H751" s="15">
        <f t="shared" si="132"/>
        <v>6104.8</v>
      </c>
      <c r="I751" s="16">
        <f t="shared" si="133"/>
        <v>527.0000000000009</v>
      </c>
      <c r="J751" s="19">
        <f t="shared" si="134"/>
        <v>0.0944816952920508</v>
      </c>
      <c r="K751" s="95" t="s">
        <v>140</v>
      </c>
      <c r="L751" s="119">
        <v>136.67</v>
      </c>
      <c r="M751" s="41">
        <f t="shared" si="135"/>
        <v>129.4281</v>
      </c>
      <c r="N751" s="118">
        <v>168.13</v>
      </c>
      <c r="O751" s="116"/>
      <c r="P751" s="116" t="s">
        <v>61</v>
      </c>
      <c r="Q751" s="117"/>
      <c r="R751" s="118"/>
      <c r="S751" s="117"/>
      <c r="T751" s="116"/>
      <c r="V751" s="15"/>
    </row>
    <row r="752" spans="1:22" s="114" customFormat="1" ht="15">
      <c r="A752" s="12" t="s">
        <v>61</v>
      </c>
      <c r="B752" s="65">
        <v>42075.56458333333</v>
      </c>
      <c r="C752" s="14">
        <v>154</v>
      </c>
      <c r="D752" s="15">
        <v>40</v>
      </c>
      <c r="E752" s="15">
        <f t="shared" si="131"/>
        <v>6171</v>
      </c>
      <c r="F752" s="13"/>
      <c r="G752" s="14">
        <v>152.62</v>
      </c>
      <c r="H752" s="15">
        <f t="shared" si="132"/>
        <v>6104.8</v>
      </c>
      <c r="I752" s="16">
        <f t="shared" si="133"/>
        <v>-66.19999999999982</v>
      </c>
      <c r="J752" s="19">
        <f t="shared" si="134"/>
        <v>-0.01072759682385348</v>
      </c>
      <c r="K752" s="95" t="s">
        <v>160</v>
      </c>
      <c r="L752" s="119"/>
      <c r="M752" s="20">
        <f t="shared" si="135"/>
        <v>143.22</v>
      </c>
      <c r="N752" s="118">
        <v>168.13</v>
      </c>
      <c r="O752" s="116"/>
      <c r="P752" s="116" t="s">
        <v>61</v>
      </c>
      <c r="Q752" s="117"/>
      <c r="R752" s="118"/>
      <c r="S752" s="117"/>
      <c r="T752" s="116"/>
      <c r="V752" s="15"/>
    </row>
    <row r="753" spans="1:23" s="114" customFormat="1" ht="15">
      <c r="A753" s="12" t="s">
        <v>61</v>
      </c>
      <c r="B753" s="65">
        <v>42109.27222222222</v>
      </c>
      <c r="C753" s="14">
        <v>156.13</v>
      </c>
      <c r="D753" s="15">
        <v>50</v>
      </c>
      <c r="E753" s="15">
        <f t="shared" si="131"/>
        <v>7817.5</v>
      </c>
      <c r="F753" s="13"/>
      <c r="G753" s="14">
        <v>152.62</v>
      </c>
      <c r="H753" s="15">
        <f t="shared" si="132"/>
        <v>7631</v>
      </c>
      <c r="I753" s="16">
        <f t="shared" si="133"/>
        <v>-186.5</v>
      </c>
      <c r="J753" s="19">
        <f t="shared" si="134"/>
        <v>-0.0238567316917173</v>
      </c>
      <c r="K753" s="95" t="s">
        <v>221</v>
      </c>
      <c r="L753" s="119"/>
      <c r="M753" s="20">
        <f t="shared" si="135"/>
        <v>145.2009</v>
      </c>
      <c r="N753" s="118">
        <v>168.13</v>
      </c>
      <c r="O753" s="116"/>
      <c r="P753" s="116" t="s">
        <v>61</v>
      </c>
      <c r="Q753" s="117"/>
      <c r="R753" s="118"/>
      <c r="S753" s="117"/>
      <c r="T753" s="116"/>
      <c r="V753" s="15"/>
      <c r="W753" s="29"/>
    </row>
    <row r="754" spans="1:22" s="114" customFormat="1" ht="15">
      <c r="A754" s="12" t="s">
        <v>52</v>
      </c>
      <c r="B754" s="65">
        <v>42046.27361111111</v>
      </c>
      <c r="C754" s="14">
        <v>129.75</v>
      </c>
      <c r="D754" s="15">
        <v>80</v>
      </c>
      <c r="E754" s="15">
        <f t="shared" si="131"/>
        <v>10391</v>
      </c>
      <c r="F754" s="65"/>
      <c r="G754" s="14">
        <v>169.49</v>
      </c>
      <c r="H754" s="15">
        <f t="shared" si="132"/>
        <v>13559.2</v>
      </c>
      <c r="I754" s="16">
        <f t="shared" si="133"/>
        <v>3168.2000000000007</v>
      </c>
      <c r="J754" s="19">
        <f t="shared" si="134"/>
        <v>0.30489846982966035</v>
      </c>
      <c r="K754" s="95" t="s">
        <v>135</v>
      </c>
      <c r="L754" s="140" t="s">
        <v>252</v>
      </c>
      <c r="M754" s="41">
        <f t="shared" si="135"/>
        <v>120.6675</v>
      </c>
      <c r="N754" s="118">
        <v>161.78</v>
      </c>
      <c r="O754" s="121">
        <f>WORKDAY(B754,40,'Weekly Summary'!P$2:P$10)</f>
        <v>42104</v>
      </c>
      <c r="P754" s="116" t="s">
        <v>52</v>
      </c>
      <c r="Q754" s="117">
        <v>169.84</v>
      </c>
      <c r="R754" s="118">
        <f>Q754*0.855</f>
        <v>145.2132</v>
      </c>
      <c r="S754" s="117">
        <f>1.11*C754</f>
        <v>144.0225</v>
      </c>
      <c r="T754" s="116"/>
      <c r="U754" s="117"/>
      <c r="V754" s="15"/>
    </row>
    <row r="755" spans="1:22" s="114" customFormat="1" ht="15">
      <c r="A755" s="12" t="s">
        <v>52</v>
      </c>
      <c r="B755" s="65">
        <v>42047.275</v>
      </c>
      <c r="C755" s="14">
        <v>133.95</v>
      </c>
      <c r="D755" s="15">
        <v>45</v>
      </c>
      <c r="E755" s="15">
        <f t="shared" si="131"/>
        <v>6038.749999999999</v>
      </c>
      <c r="F755" s="13"/>
      <c r="G755" s="14">
        <v>169.49</v>
      </c>
      <c r="H755" s="15">
        <f t="shared" si="132"/>
        <v>7627.05</v>
      </c>
      <c r="I755" s="16">
        <f t="shared" si="133"/>
        <v>1588.300000000001</v>
      </c>
      <c r="J755" s="19">
        <f t="shared" si="134"/>
        <v>0.26301800869385245</v>
      </c>
      <c r="K755" s="95" t="s">
        <v>136</v>
      </c>
      <c r="L755" s="140" t="s">
        <v>252</v>
      </c>
      <c r="M755" s="41">
        <f t="shared" si="135"/>
        <v>124.5735</v>
      </c>
      <c r="N755" s="118">
        <v>161.78</v>
      </c>
      <c r="O755" s="116"/>
      <c r="P755" s="116" t="s">
        <v>52</v>
      </c>
      <c r="Q755" s="117"/>
      <c r="R755" s="118"/>
      <c r="S755" s="117"/>
      <c r="T755" s="116"/>
      <c r="V755" s="15"/>
    </row>
    <row r="756" spans="1:22" s="114" customFormat="1" ht="15">
      <c r="A756" s="12" t="s">
        <v>52</v>
      </c>
      <c r="B756" s="65">
        <v>42048.450694444444</v>
      </c>
      <c r="C756" s="14">
        <v>135.8</v>
      </c>
      <c r="D756" s="15">
        <v>30</v>
      </c>
      <c r="E756" s="15">
        <f t="shared" si="131"/>
        <v>4085.0000000000005</v>
      </c>
      <c r="F756" s="13"/>
      <c r="G756" s="14">
        <v>169.49</v>
      </c>
      <c r="H756" s="15">
        <f t="shared" si="132"/>
        <v>5084.700000000001</v>
      </c>
      <c r="I756" s="16">
        <f t="shared" si="133"/>
        <v>999.7000000000003</v>
      </c>
      <c r="J756" s="19">
        <f t="shared" si="134"/>
        <v>0.2447246022031824</v>
      </c>
      <c r="K756" s="95" t="s">
        <v>143</v>
      </c>
      <c r="L756" s="140" t="s">
        <v>252</v>
      </c>
      <c r="M756" s="41">
        <f t="shared" si="135"/>
        <v>126.29400000000001</v>
      </c>
      <c r="N756" s="118">
        <v>161.78</v>
      </c>
      <c r="O756" s="116"/>
      <c r="P756" s="116" t="s">
        <v>52</v>
      </c>
      <c r="Q756" s="117"/>
      <c r="R756" s="118"/>
      <c r="S756" s="117"/>
      <c r="T756" s="116"/>
      <c r="V756" s="15"/>
    </row>
    <row r="757" spans="1:22" s="114" customFormat="1" ht="15">
      <c r="A757" s="12" t="s">
        <v>52</v>
      </c>
      <c r="B757" s="65">
        <v>42074.29027777778</v>
      </c>
      <c r="C757" s="14">
        <v>140.55</v>
      </c>
      <c r="D757" s="15">
        <v>30</v>
      </c>
      <c r="E757" s="15">
        <f t="shared" si="131"/>
        <v>4227.5</v>
      </c>
      <c r="F757" s="13"/>
      <c r="G757" s="14">
        <v>169.49</v>
      </c>
      <c r="H757" s="15">
        <f t="shared" si="132"/>
        <v>5084.700000000001</v>
      </c>
      <c r="I757" s="16">
        <f t="shared" si="133"/>
        <v>857.2000000000007</v>
      </c>
      <c r="J757" s="19">
        <f t="shared" si="134"/>
        <v>0.20276759314015394</v>
      </c>
      <c r="K757" s="95" t="s">
        <v>182</v>
      </c>
      <c r="L757" s="140" t="s">
        <v>252</v>
      </c>
      <c r="M757" s="41">
        <f t="shared" si="135"/>
        <v>130.71150000000003</v>
      </c>
      <c r="N757" s="118">
        <v>161.78</v>
      </c>
      <c r="O757" s="116"/>
      <c r="P757" s="116" t="s">
        <v>52</v>
      </c>
      <c r="Q757" s="117"/>
      <c r="R757" s="118"/>
      <c r="S757" s="117"/>
      <c r="T757" s="116"/>
      <c r="V757" s="15"/>
    </row>
    <row r="758" spans="1:23" s="114" customFormat="1" ht="15">
      <c r="A758" s="12" t="s">
        <v>52</v>
      </c>
      <c r="B758" s="65">
        <v>42093.27638888889</v>
      </c>
      <c r="C758" s="14">
        <v>149.29</v>
      </c>
      <c r="D758" s="15">
        <v>40</v>
      </c>
      <c r="E758" s="15">
        <f t="shared" si="131"/>
        <v>5982.599999999999</v>
      </c>
      <c r="F758" s="13"/>
      <c r="G758" s="14">
        <v>169.49</v>
      </c>
      <c r="H758" s="15">
        <f t="shared" si="132"/>
        <v>6779.6</v>
      </c>
      <c r="I758" s="16">
        <f t="shared" si="133"/>
        <v>797.0000000000009</v>
      </c>
      <c r="J758" s="19">
        <f t="shared" si="134"/>
        <v>0.13321967037742805</v>
      </c>
      <c r="K758" s="95" t="s">
        <v>213</v>
      </c>
      <c r="L758" s="140" t="s">
        <v>252</v>
      </c>
      <c r="M758" s="41">
        <f t="shared" si="135"/>
        <v>138.8397</v>
      </c>
      <c r="N758" s="118">
        <v>161.78</v>
      </c>
      <c r="O758" s="116"/>
      <c r="P758" s="116" t="s">
        <v>52</v>
      </c>
      <c r="Q758" s="117"/>
      <c r="R758" s="118"/>
      <c r="S758" s="117"/>
      <c r="T758" s="116"/>
      <c r="V758" s="15"/>
      <c r="W758" s="29"/>
    </row>
    <row r="759" spans="1:24" s="114" customFormat="1" ht="15">
      <c r="A759" s="12" t="s">
        <v>52</v>
      </c>
      <c r="B759" s="65">
        <v>42142.46666666667</v>
      </c>
      <c r="C759" s="14">
        <v>158</v>
      </c>
      <c r="D759" s="15">
        <v>45</v>
      </c>
      <c r="E759" s="15">
        <f t="shared" si="131"/>
        <v>7121</v>
      </c>
      <c r="F759" s="13"/>
      <c r="G759" s="14">
        <v>169.49</v>
      </c>
      <c r="H759" s="15">
        <f t="shared" si="132"/>
        <v>7627.05</v>
      </c>
      <c r="I759" s="16">
        <f t="shared" si="133"/>
        <v>506.0500000000002</v>
      </c>
      <c r="J759" s="19">
        <f t="shared" si="134"/>
        <v>0.07106445723915183</v>
      </c>
      <c r="K759" s="95" t="s">
        <v>246</v>
      </c>
      <c r="L759" s="119"/>
      <c r="M759" s="20">
        <f t="shared" si="135"/>
        <v>146.94</v>
      </c>
      <c r="N759" s="118">
        <v>161.78</v>
      </c>
      <c r="O759" s="116"/>
      <c r="P759" s="116" t="s">
        <v>52</v>
      </c>
      <c r="Q759" s="117"/>
      <c r="R759" s="118"/>
      <c r="S759" s="117"/>
      <c r="T759" s="116"/>
      <c r="V759" s="15"/>
      <c r="W759" s="29"/>
      <c r="X759" s="29"/>
    </row>
    <row r="760" spans="1:24" s="114" customFormat="1" ht="15">
      <c r="A760" s="85" t="s">
        <v>52</v>
      </c>
      <c r="B760" s="65">
        <v>42152.50625</v>
      </c>
      <c r="C760" s="14">
        <v>168</v>
      </c>
      <c r="D760" s="15">
        <v>55</v>
      </c>
      <c r="E760" s="15">
        <f t="shared" si="131"/>
        <v>9251</v>
      </c>
      <c r="F760" s="13"/>
      <c r="G760" s="14">
        <v>169.49</v>
      </c>
      <c r="H760" s="15">
        <f t="shared" si="132"/>
        <v>9321.95</v>
      </c>
      <c r="I760" s="16">
        <f t="shared" si="133"/>
        <v>70.95000000000073</v>
      </c>
      <c r="J760" s="19">
        <f t="shared" si="134"/>
        <v>0.007669441141498295</v>
      </c>
      <c r="K760" s="95" t="s">
        <v>244</v>
      </c>
      <c r="L760" s="119"/>
      <c r="M760" s="20">
        <f t="shared" si="135"/>
        <v>156.24</v>
      </c>
      <c r="N760" s="118">
        <v>161.78</v>
      </c>
      <c r="O760" s="116"/>
      <c r="P760" s="116" t="s">
        <v>52</v>
      </c>
      <c r="Q760" s="117"/>
      <c r="R760" s="118"/>
      <c r="S760" s="117"/>
      <c r="T760" s="116"/>
      <c r="V760" s="15"/>
      <c r="W760" s="29"/>
      <c r="X760" s="29"/>
    </row>
    <row r="761" spans="1:22" s="114" customFormat="1" ht="15">
      <c r="A761" s="12" t="s">
        <v>39</v>
      </c>
      <c r="B761" s="65">
        <v>42062.53680555556</v>
      </c>
      <c r="C761" s="14">
        <v>57.65</v>
      </c>
      <c r="D761" s="15">
        <v>100</v>
      </c>
      <c r="E761" s="15">
        <f t="shared" si="131"/>
        <v>5776</v>
      </c>
      <c r="F761" s="13"/>
      <c r="G761" s="14">
        <v>90.21</v>
      </c>
      <c r="H761" s="15">
        <f t="shared" si="132"/>
        <v>9021</v>
      </c>
      <c r="I761" s="16">
        <f t="shared" si="133"/>
        <v>3245</v>
      </c>
      <c r="J761" s="19">
        <f t="shared" si="134"/>
        <v>0.5618074792243767</v>
      </c>
      <c r="K761" s="141" t="s">
        <v>243</v>
      </c>
      <c r="L761" s="97">
        <v>78.52</v>
      </c>
      <c r="M761" s="41">
        <f t="shared" si="135"/>
        <v>53.6145</v>
      </c>
      <c r="N761" s="142">
        <v>79</v>
      </c>
      <c r="O761" s="121">
        <v>42124</v>
      </c>
      <c r="P761" s="116" t="s">
        <v>39</v>
      </c>
      <c r="Q761" s="117">
        <v>91.84</v>
      </c>
      <c r="R761" s="118">
        <f>Q761*0.855</f>
        <v>78.5232</v>
      </c>
      <c r="S761" s="117">
        <f>1.11*C761</f>
        <v>63.9915</v>
      </c>
      <c r="T761" s="116"/>
      <c r="U761" s="117"/>
      <c r="V761" s="15"/>
    </row>
    <row r="762" spans="1:22" s="114" customFormat="1" ht="15">
      <c r="A762" s="12" t="s">
        <v>39</v>
      </c>
      <c r="B762" s="65">
        <v>42073.322916666664</v>
      </c>
      <c r="C762" s="14">
        <v>65.15</v>
      </c>
      <c r="D762" s="15">
        <v>350</v>
      </c>
      <c r="E762" s="15">
        <f t="shared" si="131"/>
        <v>22813.500000000004</v>
      </c>
      <c r="F762" s="13"/>
      <c r="G762" s="14">
        <v>90.21</v>
      </c>
      <c r="H762" s="15">
        <f t="shared" si="132"/>
        <v>31573.499999999996</v>
      </c>
      <c r="I762" s="16">
        <f t="shared" si="133"/>
        <v>8759.999999999993</v>
      </c>
      <c r="J762" s="19">
        <f t="shared" si="134"/>
        <v>0.38398316786113446</v>
      </c>
      <c r="K762" s="95" t="s">
        <v>164</v>
      </c>
      <c r="L762" s="97">
        <v>78.52</v>
      </c>
      <c r="M762" s="41">
        <f t="shared" si="135"/>
        <v>60.58950000000001</v>
      </c>
      <c r="N762" s="142">
        <v>79</v>
      </c>
      <c r="O762" s="116"/>
      <c r="P762" s="116" t="s">
        <v>39</v>
      </c>
      <c r="Q762" s="117"/>
      <c r="R762" s="118"/>
      <c r="S762" s="117"/>
      <c r="T762" s="116"/>
      <c r="V762" s="15"/>
    </row>
    <row r="763" spans="1:22" s="114" customFormat="1" ht="15">
      <c r="A763" s="12" t="s">
        <v>39</v>
      </c>
      <c r="B763" s="65">
        <v>42073.35555555556</v>
      </c>
      <c r="C763" s="14">
        <v>66.15</v>
      </c>
      <c r="D763" s="15">
        <v>110</v>
      </c>
      <c r="E763" s="15">
        <f t="shared" si="131"/>
        <v>7287.500000000001</v>
      </c>
      <c r="F763" s="13"/>
      <c r="G763" s="14">
        <v>90.21</v>
      </c>
      <c r="H763" s="15">
        <f t="shared" si="132"/>
        <v>9923.099999999999</v>
      </c>
      <c r="I763" s="16">
        <f t="shared" si="133"/>
        <v>2635.5999999999976</v>
      </c>
      <c r="J763" s="19">
        <f t="shared" si="134"/>
        <v>0.3616603773584902</v>
      </c>
      <c r="K763" s="132" t="s">
        <v>249</v>
      </c>
      <c r="L763" s="97">
        <v>78.52</v>
      </c>
      <c r="M763" s="41">
        <f t="shared" si="135"/>
        <v>61.51950000000001</v>
      </c>
      <c r="N763" s="142">
        <v>79</v>
      </c>
      <c r="O763" s="116"/>
      <c r="P763" s="116" t="s">
        <v>39</v>
      </c>
      <c r="Q763" s="117"/>
      <c r="R763" s="118"/>
      <c r="S763" s="117"/>
      <c r="T763" s="116"/>
      <c r="V763" s="15"/>
    </row>
    <row r="764" spans="1:22" s="114" customFormat="1" ht="15">
      <c r="A764" s="12" t="s">
        <v>39</v>
      </c>
      <c r="B764" s="65">
        <v>42093.34375</v>
      </c>
      <c r="C764" s="14">
        <v>73.37</v>
      </c>
      <c r="D764" s="15">
        <v>110</v>
      </c>
      <c r="E764" s="15">
        <f t="shared" si="131"/>
        <v>8081.700000000001</v>
      </c>
      <c r="F764" s="13"/>
      <c r="G764" s="14">
        <v>90.21</v>
      </c>
      <c r="H764" s="15">
        <f t="shared" si="132"/>
        <v>9923.099999999999</v>
      </c>
      <c r="I764" s="16">
        <f t="shared" si="133"/>
        <v>1841.3999999999978</v>
      </c>
      <c r="J764" s="19">
        <f t="shared" si="134"/>
        <v>0.2278481012658225</v>
      </c>
      <c r="K764" s="95" t="s">
        <v>214</v>
      </c>
      <c r="L764" s="97">
        <v>78.52</v>
      </c>
      <c r="M764" s="41">
        <f t="shared" si="135"/>
        <v>68.23410000000001</v>
      </c>
      <c r="N764" s="142">
        <v>79</v>
      </c>
      <c r="O764" s="116"/>
      <c r="P764" s="116" t="s">
        <v>39</v>
      </c>
      <c r="Q764" s="117"/>
      <c r="R764" s="118"/>
      <c r="S764" s="117"/>
      <c r="T764" s="116"/>
      <c r="V764" s="15"/>
    </row>
    <row r="765" spans="1:23" s="114" customFormat="1" ht="15">
      <c r="A765" s="12" t="s">
        <v>39</v>
      </c>
      <c r="B765" s="65">
        <v>42139.313888888886</v>
      </c>
      <c r="C765" s="14">
        <v>77.5</v>
      </c>
      <c r="D765" s="15">
        <v>200</v>
      </c>
      <c r="E765" s="15">
        <f t="shared" si="131"/>
        <v>15511</v>
      </c>
      <c r="F765" s="13"/>
      <c r="G765" s="14">
        <v>90.21</v>
      </c>
      <c r="H765" s="15">
        <f t="shared" si="132"/>
        <v>18042</v>
      </c>
      <c r="I765" s="16">
        <f t="shared" si="133"/>
        <v>2531</v>
      </c>
      <c r="J765" s="19">
        <f t="shared" si="134"/>
        <v>0.1631745213074592</v>
      </c>
      <c r="K765" s="95" t="s">
        <v>241</v>
      </c>
      <c r="L765" s="97">
        <v>78.52</v>
      </c>
      <c r="M765" s="41">
        <f t="shared" si="135"/>
        <v>72.075</v>
      </c>
      <c r="N765" s="142">
        <v>79</v>
      </c>
      <c r="O765" s="116"/>
      <c r="P765" s="116" t="s">
        <v>39</v>
      </c>
      <c r="Q765" s="117"/>
      <c r="R765" s="118"/>
      <c r="S765" s="117"/>
      <c r="T765" s="116"/>
      <c r="V765" s="15"/>
      <c r="W765" s="29"/>
    </row>
    <row r="766" spans="1:22" s="114" customFormat="1" ht="15">
      <c r="A766" s="12" t="s">
        <v>169</v>
      </c>
      <c r="B766" s="65">
        <v>42076.538194444445</v>
      </c>
      <c r="C766" s="14">
        <v>56.64</v>
      </c>
      <c r="D766" s="15">
        <v>320</v>
      </c>
      <c r="E766" s="15">
        <f t="shared" si="131"/>
        <v>18135.8</v>
      </c>
      <c r="F766" s="13"/>
      <c r="G766" s="14">
        <v>60.18</v>
      </c>
      <c r="H766" s="15">
        <f t="shared" si="132"/>
        <v>19257.6</v>
      </c>
      <c r="I766" s="16">
        <f t="shared" si="133"/>
        <v>1121.7999999999993</v>
      </c>
      <c r="J766" s="19">
        <f t="shared" si="134"/>
        <v>0.06185555641328198</v>
      </c>
      <c r="K766" s="95" t="s">
        <v>170</v>
      </c>
      <c r="L766" s="119"/>
      <c r="M766" s="20">
        <f t="shared" si="135"/>
        <v>52.675200000000004</v>
      </c>
      <c r="N766" s="118">
        <v>71.25</v>
      </c>
      <c r="O766" s="121">
        <v>42132</v>
      </c>
      <c r="P766" s="116" t="s">
        <v>169</v>
      </c>
      <c r="Q766" s="117">
        <v>61.86</v>
      </c>
      <c r="R766" s="118">
        <f>Q766*0.855</f>
        <v>52.890299999999996</v>
      </c>
      <c r="S766" s="117">
        <f>1.11*C766</f>
        <v>62.870400000000004</v>
      </c>
      <c r="T766" s="116"/>
      <c r="U766" s="117"/>
      <c r="V766" s="15"/>
    </row>
    <row r="767" spans="1:22" s="114" customFormat="1" ht="15">
      <c r="A767" s="12" t="s">
        <v>169</v>
      </c>
      <c r="B767" s="65">
        <v>42082.302777777775</v>
      </c>
      <c r="C767" s="14">
        <v>57.9</v>
      </c>
      <c r="D767" s="15">
        <v>190</v>
      </c>
      <c r="E767" s="15">
        <f t="shared" si="131"/>
        <v>11012</v>
      </c>
      <c r="F767" s="13"/>
      <c r="G767" s="14">
        <v>60.18</v>
      </c>
      <c r="H767" s="15">
        <f t="shared" si="132"/>
        <v>11434.2</v>
      </c>
      <c r="I767" s="16">
        <f t="shared" si="133"/>
        <v>422.2000000000007</v>
      </c>
      <c r="J767" s="19">
        <f t="shared" si="134"/>
        <v>0.03833999273519803</v>
      </c>
      <c r="K767" s="95" t="s">
        <v>217</v>
      </c>
      <c r="L767" s="119"/>
      <c r="M767" s="20">
        <f t="shared" si="135"/>
        <v>53.847</v>
      </c>
      <c r="N767" s="118">
        <v>71.25</v>
      </c>
      <c r="O767" s="116"/>
      <c r="P767" s="116" t="s">
        <v>169</v>
      </c>
      <c r="Q767" s="117"/>
      <c r="R767" s="118"/>
      <c r="S767" s="117"/>
      <c r="T767" s="116"/>
      <c r="V767" s="15"/>
    </row>
    <row r="768" spans="1:23" s="114" customFormat="1" ht="15">
      <c r="A768" s="12" t="s">
        <v>169</v>
      </c>
      <c r="B768" s="65">
        <v>42103.433333333334</v>
      </c>
      <c r="C768" s="14">
        <v>59.27</v>
      </c>
      <c r="D768" s="15">
        <v>125</v>
      </c>
      <c r="E768" s="15">
        <f t="shared" si="131"/>
        <v>7419.75</v>
      </c>
      <c r="F768" s="13"/>
      <c r="G768" s="14">
        <v>60.18</v>
      </c>
      <c r="H768" s="15">
        <f t="shared" si="132"/>
        <v>7522.5</v>
      </c>
      <c r="I768" s="16">
        <f t="shared" si="133"/>
        <v>102.75</v>
      </c>
      <c r="J768" s="19">
        <f t="shared" si="134"/>
        <v>0.013848175477610431</v>
      </c>
      <c r="K768" s="95" t="s">
        <v>216</v>
      </c>
      <c r="L768" s="119"/>
      <c r="M768" s="20">
        <f t="shared" si="135"/>
        <v>55.121100000000006</v>
      </c>
      <c r="N768" s="118">
        <v>71.25</v>
      </c>
      <c r="O768" s="116"/>
      <c r="P768" s="116" t="s">
        <v>169</v>
      </c>
      <c r="Q768" s="117"/>
      <c r="R768" s="118"/>
      <c r="S768" s="117"/>
      <c r="T768" s="116"/>
      <c r="V768" s="15"/>
      <c r="W768" s="29"/>
    </row>
    <row r="769" spans="1:22" s="114" customFormat="1" ht="15">
      <c r="A769" s="12" t="s">
        <v>45</v>
      </c>
      <c r="B769" s="65">
        <v>42080.325694444444</v>
      </c>
      <c r="C769" s="14">
        <v>20.12</v>
      </c>
      <c r="D769" s="15">
        <v>1000</v>
      </c>
      <c r="E769" s="15">
        <f t="shared" si="131"/>
        <v>20131</v>
      </c>
      <c r="F769" s="13"/>
      <c r="G769" s="14">
        <v>31.7</v>
      </c>
      <c r="H769" s="15">
        <f t="shared" si="132"/>
        <v>31700</v>
      </c>
      <c r="I769" s="16">
        <f t="shared" si="133"/>
        <v>11569</v>
      </c>
      <c r="J769" s="19">
        <f t="shared" si="134"/>
        <v>0.5746858079578759</v>
      </c>
      <c r="K769" s="95" t="s">
        <v>186</v>
      </c>
      <c r="L769" s="119">
        <v>32.46</v>
      </c>
      <c r="M769" s="41">
        <f t="shared" si="135"/>
        <v>18.7116</v>
      </c>
      <c r="N769" s="118">
        <v>32</v>
      </c>
      <c r="O769" s="121">
        <v>42159</v>
      </c>
      <c r="P769" s="116" t="s">
        <v>45</v>
      </c>
      <c r="Q769" s="117">
        <v>37.97</v>
      </c>
      <c r="R769" s="118">
        <f>Q769*0.855</f>
        <v>32.464349999999996</v>
      </c>
      <c r="S769" s="117">
        <f>1.11*C769</f>
        <v>22.3332</v>
      </c>
      <c r="T769" s="116"/>
      <c r="U769" s="117"/>
      <c r="V769" s="15"/>
    </row>
    <row r="770" spans="1:22" s="114" customFormat="1" ht="15">
      <c r="A770" s="12" t="s">
        <v>45</v>
      </c>
      <c r="B770" s="65">
        <v>42081.30972222222</v>
      </c>
      <c r="C770" s="14">
        <v>21.46</v>
      </c>
      <c r="D770" s="15">
        <v>500</v>
      </c>
      <c r="E770" s="15">
        <f t="shared" si="131"/>
        <v>10741</v>
      </c>
      <c r="F770" s="13"/>
      <c r="G770" s="14">
        <v>31.7</v>
      </c>
      <c r="H770" s="15">
        <f t="shared" si="132"/>
        <v>15850</v>
      </c>
      <c r="I770" s="16">
        <f t="shared" si="133"/>
        <v>5109</v>
      </c>
      <c r="J770" s="19">
        <f t="shared" si="134"/>
        <v>0.47565403593706357</v>
      </c>
      <c r="K770" s="95" t="s">
        <v>198</v>
      </c>
      <c r="L770" s="119">
        <v>32.46</v>
      </c>
      <c r="M770" s="41">
        <f t="shared" si="135"/>
        <v>19.957800000000002</v>
      </c>
      <c r="N770" s="118">
        <v>32</v>
      </c>
      <c r="O770" s="116"/>
      <c r="P770" s="116" t="s">
        <v>45</v>
      </c>
      <c r="Q770" s="117"/>
      <c r="R770" s="118"/>
      <c r="S770" s="117"/>
      <c r="T770" s="116"/>
      <c r="V770" s="15"/>
    </row>
    <row r="771" spans="1:22" s="114" customFormat="1" ht="15">
      <c r="A771" s="12" t="s">
        <v>45</v>
      </c>
      <c r="B771" s="65">
        <v>42082.32986111111</v>
      </c>
      <c r="C771" s="14">
        <v>23.1</v>
      </c>
      <c r="D771" s="15">
        <v>780</v>
      </c>
      <c r="E771" s="15">
        <f t="shared" si="131"/>
        <v>18029</v>
      </c>
      <c r="F771" s="13"/>
      <c r="G771" s="14">
        <v>31.7</v>
      </c>
      <c r="H771" s="15">
        <f t="shared" si="132"/>
        <v>24726</v>
      </c>
      <c r="I771" s="16">
        <f t="shared" si="133"/>
        <v>6697</v>
      </c>
      <c r="J771" s="19">
        <f t="shared" si="134"/>
        <v>0.3714570968994398</v>
      </c>
      <c r="K771" s="95" t="s">
        <v>188</v>
      </c>
      <c r="L771" s="119">
        <v>32.46</v>
      </c>
      <c r="M771" s="41">
        <f t="shared" si="135"/>
        <v>21.483000000000004</v>
      </c>
      <c r="N771" s="118">
        <v>32</v>
      </c>
      <c r="O771" s="116"/>
      <c r="P771" s="116" t="s">
        <v>45</v>
      </c>
      <c r="Q771" s="117"/>
      <c r="R771" s="118"/>
      <c r="S771" s="117"/>
      <c r="T771" s="116"/>
      <c r="V771" s="15"/>
    </row>
    <row r="772" spans="1:22" s="114" customFormat="1" ht="15">
      <c r="A772" s="12" t="s">
        <v>45</v>
      </c>
      <c r="B772" s="65">
        <v>42090.27291666667</v>
      </c>
      <c r="C772" s="14">
        <v>23.65</v>
      </c>
      <c r="D772" s="15">
        <v>510</v>
      </c>
      <c r="E772" s="15">
        <f t="shared" si="131"/>
        <v>12072.5</v>
      </c>
      <c r="F772" s="13"/>
      <c r="G772" s="14">
        <v>31.7</v>
      </c>
      <c r="H772" s="15">
        <f t="shared" si="132"/>
        <v>16167</v>
      </c>
      <c r="I772" s="16">
        <f t="shared" si="133"/>
        <v>4094.5</v>
      </c>
      <c r="J772" s="19">
        <f t="shared" si="134"/>
        <v>0.3391592462207496</v>
      </c>
      <c r="K772" s="95" t="s">
        <v>199</v>
      </c>
      <c r="L772" s="119">
        <v>32.46</v>
      </c>
      <c r="M772" s="41">
        <f t="shared" si="135"/>
        <v>21.9945</v>
      </c>
      <c r="N772" s="118">
        <v>32</v>
      </c>
      <c r="O772" s="116"/>
      <c r="P772" s="116" t="s">
        <v>45</v>
      </c>
      <c r="Q772" s="117"/>
      <c r="R772" s="118"/>
      <c r="S772" s="117"/>
      <c r="T772" s="116"/>
      <c r="V772" s="15"/>
    </row>
    <row r="773" spans="1:22" s="114" customFormat="1" ht="15">
      <c r="A773" s="12" t="s">
        <v>45</v>
      </c>
      <c r="B773" s="65">
        <v>42102.27916666667</v>
      </c>
      <c r="C773" s="14">
        <v>26.2</v>
      </c>
      <c r="D773" s="15">
        <v>560</v>
      </c>
      <c r="E773" s="15">
        <f t="shared" si="131"/>
        <v>14683</v>
      </c>
      <c r="F773" s="13"/>
      <c r="G773" s="14">
        <v>31.7</v>
      </c>
      <c r="H773" s="15">
        <f t="shared" si="132"/>
        <v>17752</v>
      </c>
      <c r="I773" s="16">
        <f t="shared" si="133"/>
        <v>3069</v>
      </c>
      <c r="J773" s="19">
        <f t="shared" si="134"/>
        <v>0.20901723081114212</v>
      </c>
      <c r="K773" s="95" t="s">
        <v>218</v>
      </c>
      <c r="L773" s="119">
        <v>32.46</v>
      </c>
      <c r="M773" s="41">
        <f t="shared" si="135"/>
        <v>24.366</v>
      </c>
      <c r="N773" s="118">
        <v>32</v>
      </c>
      <c r="O773" s="116"/>
      <c r="P773" s="116" t="s">
        <v>45</v>
      </c>
      <c r="Q773" s="117"/>
      <c r="R773" s="118"/>
      <c r="S773" s="117"/>
      <c r="T773" s="116"/>
      <c r="V773" s="15"/>
    </row>
    <row r="774" spans="1:22" s="114" customFormat="1" ht="15">
      <c r="A774" s="12" t="s">
        <v>45</v>
      </c>
      <c r="B774" s="65">
        <v>42109.40833333333</v>
      </c>
      <c r="C774" s="14">
        <v>29.02</v>
      </c>
      <c r="D774" s="15">
        <v>670</v>
      </c>
      <c r="E774" s="15">
        <f t="shared" si="131"/>
        <v>19454.4</v>
      </c>
      <c r="F774" s="13"/>
      <c r="G774" s="14">
        <v>31.7</v>
      </c>
      <c r="H774" s="15">
        <f t="shared" si="132"/>
        <v>21239</v>
      </c>
      <c r="I774" s="16">
        <f t="shared" si="133"/>
        <v>1784.5999999999985</v>
      </c>
      <c r="J774" s="19">
        <f t="shared" si="134"/>
        <v>0.09173246155111432</v>
      </c>
      <c r="K774" s="95" t="s">
        <v>245</v>
      </c>
      <c r="L774" s="119">
        <v>32.46</v>
      </c>
      <c r="M774" s="41">
        <f t="shared" si="135"/>
        <v>26.9886</v>
      </c>
      <c r="N774" s="118">
        <v>32</v>
      </c>
      <c r="O774" s="116"/>
      <c r="P774" s="116" t="s">
        <v>45</v>
      </c>
      <c r="Q774" s="117"/>
      <c r="R774" s="118"/>
      <c r="S774" s="117"/>
      <c r="T774" s="116"/>
      <c r="V774" s="15"/>
    </row>
    <row r="775" spans="1:23" s="114" customFormat="1" ht="15">
      <c r="A775" s="12" t="s">
        <v>45</v>
      </c>
      <c r="B775" s="65">
        <v>42115.27291666667</v>
      </c>
      <c r="C775" s="14">
        <v>31.27</v>
      </c>
      <c r="D775" s="15">
        <v>670</v>
      </c>
      <c r="E775" s="15">
        <f t="shared" si="131"/>
        <v>20961.9</v>
      </c>
      <c r="F775" s="13"/>
      <c r="G775" s="14">
        <v>31.7</v>
      </c>
      <c r="H775" s="15">
        <f t="shared" si="132"/>
        <v>21239</v>
      </c>
      <c r="I775" s="16">
        <f t="shared" si="133"/>
        <v>277.09999999999854</v>
      </c>
      <c r="J775" s="19">
        <f t="shared" si="134"/>
        <v>0.013219221540032083</v>
      </c>
      <c r="K775" s="95" t="s">
        <v>235</v>
      </c>
      <c r="L775" s="119">
        <v>32.46</v>
      </c>
      <c r="M775" s="41">
        <f t="shared" si="135"/>
        <v>29.081100000000003</v>
      </c>
      <c r="N775" s="118">
        <v>32</v>
      </c>
      <c r="O775" s="116"/>
      <c r="P775" s="116" t="s">
        <v>45</v>
      </c>
      <c r="Q775" s="117"/>
      <c r="R775" s="118"/>
      <c r="S775" s="117"/>
      <c r="T775" s="116"/>
      <c r="V775" s="15"/>
      <c r="W775" s="29"/>
    </row>
    <row r="776" spans="1:22" s="114" customFormat="1" ht="15">
      <c r="A776" s="12" t="s">
        <v>208</v>
      </c>
      <c r="B776" s="65">
        <v>42090.308333333334</v>
      </c>
      <c r="C776" s="14">
        <v>214</v>
      </c>
      <c r="D776" s="15">
        <v>95</v>
      </c>
      <c r="E776" s="15">
        <f t="shared" si="131"/>
        <v>20341</v>
      </c>
      <c r="F776" s="13"/>
      <c r="G776" s="14">
        <v>219.53</v>
      </c>
      <c r="H776" s="15">
        <f t="shared" si="132"/>
        <v>20855.35</v>
      </c>
      <c r="I776" s="16">
        <f t="shared" si="133"/>
        <v>514.3499999999985</v>
      </c>
      <c r="J776" s="19">
        <f t="shared" si="134"/>
        <v>0.02528636743522927</v>
      </c>
      <c r="K776" s="95" t="s">
        <v>212</v>
      </c>
      <c r="L776" s="119"/>
      <c r="M776" s="20">
        <f t="shared" si="135"/>
        <v>199.02</v>
      </c>
      <c r="N776" s="118">
        <v>267.7</v>
      </c>
      <c r="O776" s="121">
        <v>42136</v>
      </c>
      <c r="P776" s="116" t="s">
        <v>208</v>
      </c>
      <c r="Q776" s="117">
        <v>230.7</v>
      </c>
      <c r="R776" s="118">
        <f>Q776*0.855</f>
        <v>197.24849999999998</v>
      </c>
      <c r="S776" s="117">
        <f>1.11*C776</f>
        <v>237.54000000000002</v>
      </c>
      <c r="T776" s="116"/>
      <c r="U776" s="117"/>
      <c r="V776" s="15"/>
    </row>
    <row r="777" spans="1:22" s="114" customFormat="1" ht="15">
      <c r="A777" s="12" t="s">
        <v>208</v>
      </c>
      <c r="B777" s="65">
        <v>42093.29305555556</v>
      </c>
      <c r="C777" s="14">
        <v>219.41</v>
      </c>
      <c r="D777" s="15">
        <v>55</v>
      </c>
      <c r="E777" s="15">
        <f t="shared" si="131"/>
        <v>12078.55</v>
      </c>
      <c r="F777" s="13"/>
      <c r="G777" s="14">
        <v>219.53</v>
      </c>
      <c r="H777" s="15">
        <f t="shared" si="132"/>
        <v>12074.15</v>
      </c>
      <c r="I777" s="16">
        <f t="shared" si="133"/>
        <v>-4.399999999999636</v>
      </c>
      <c r="J777" s="19">
        <f t="shared" si="134"/>
        <v>-0.00036428213651470054</v>
      </c>
      <c r="K777" s="95" t="s">
        <v>211</v>
      </c>
      <c r="L777" s="119"/>
      <c r="M777" s="20">
        <f t="shared" si="135"/>
        <v>204.0513</v>
      </c>
      <c r="N777" s="118">
        <v>267.7</v>
      </c>
      <c r="O777" s="116"/>
      <c r="P777" s="116" t="s">
        <v>208</v>
      </c>
      <c r="Q777" s="117"/>
      <c r="R777" s="118"/>
      <c r="S777" s="117"/>
      <c r="T777" s="116"/>
      <c r="V777" s="15"/>
    </row>
    <row r="778" spans="1:23" s="114" customFormat="1" ht="15">
      <c r="A778" s="12" t="s">
        <v>208</v>
      </c>
      <c r="B778" s="65">
        <v>42117.27569444444</v>
      </c>
      <c r="C778" s="14">
        <v>226.35</v>
      </c>
      <c r="D778" s="15">
        <v>35</v>
      </c>
      <c r="E778" s="15">
        <f t="shared" si="131"/>
        <v>7933.25</v>
      </c>
      <c r="F778" s="13"/>
      <c r="G778" s="14">
        <v>219.53</v>
      </c>
      <c r="H778" s="15">
        <f t="shared" si="132"/>
        <v>7683.55</v>
      </c>
      <c r="I778" s="16">
        <f t="shared" si="133"/>
        <v>-249.69999999999982</v>
      </c>
      <c r="J778" s="19">
        <f t="shared" si="134"/>
        <v>-0.03147512053698041</v>
      </c>
      <c r="K778" s="95" t="s">
        <v>236</v>
      </c>
      <c r="L778" s="119"/>
      <c r="M778" s="20">
        <f t="shared" si="135"/>
        <v>210.5055</v>
      </c>
      <c r="N778" s="118">
        <v>267.7</v>
      </c>
      <c r="O778" s="116"/>
      <c r="P778" s="116" t="s">
        <v>208</v>
      </c>
      <c r="Q778" s="117"/>
      <c r="R778" s="118"/>
      <c r="S778" s="117"/>
      <c r="T778" s="116"/>
      <c r="V778" s="15"/>
      <c r="W778" s="29"/>
    </row>
    <row r="779" spans="1:22" s="114" customFormat="1" ht="15">
      <c r="A779" s="12" t="s">
        <v>49</v>
      </c>
      <c r="B779" s="65">
        <v>42117.345138888886</v>
      </c>
      <c r="C779" s="14">
        <v>117.5</v>
      </c>
      <c r="D779" s="15">
        <v>215</v>
      </c>
      <c r="E779" s="15">
        <f t="shared" si="131"/>
        <v>25273.5</v>
      </c>
      <c r="F779" s="13"/>
      <c r="G779" s="14">
        <v>141.41</v>
      </c>
      <c r="H779" s="15">
        <f t="shared" si="132"/>
        <v>30403.149999999998</v>
      </c>
      <c r="I779" s="16">
        <f t="shared" si="133"/>
        <v>5129.649999999998</v>
      </c>
      <c r="J779" s="19">
        <f t="shared" si="134"/>
        <v>0.20296555680851477</v>
      </c>
      <c r="K779" s="95" t="s">
        <v>230</v>
      </c>
      <c r="L779" s="119">
        <v>128.51</v>
      </c>
      <c r="M779" s="41">
        <f t="shared" si="135"/>
        <v>109.275</v>
      </c>
      <c r="N779" s="118">
        <v>148.09</v>
      </c>
      <c r="O779" s="121">
        <v>42159</v>
      </c>
      <c r="P779" s="116" t="s">
        <v>49</v>
      </c>
      <c r="Q779" s="117">
        <v>150.3</v>
      </c>
      <c r="R779" s="118">
        <f>Q779*0.855</f>
        <v>128.50650000000002</v>
      </c>
      <c r="S779" s="117">
        <f>1.11*C779</f>
        <v>130.425</v>
      </c>
      <c r="T779" s="116"/>
      <c r="U779" s="117"/>
      <c r="V779" s="15"/>
    </row>
    <row r="780" spans="1:22" s="114" customFormat="1" ht="15">
      <c r="A780" s="12" t="s">
        <v>49</v>
      </c>
      <c r="B780" s="65">
        <v>42118.274305555555</v>
      </c>
      <c r="C780" s="14">
        <v>119.93</v>
      </c>
      <c r="D780" s="15">
        <v>125</v>
      </c>
      <c r="E780" s="15">
        <f t="shared" si="131"/>
        <v>15002.25</v>
      </c>
      <c r="F780" s="13"/>
      <c r="G780" s="14">
        <v>141.41</v>
      </c>
      <c r="H780" s="15">
        <f t="shared" si="132"/>
        <v>17676.25</v>
      </c>
      <c r="I780" s="16">
        <f t="shared" si="133"/>
        <v>2674</v>
      </c>
      <c r="J780" s="19">
        <f t="shared" si="134"/>
        <v>0.17823993067706512</v>
      </c>
      <c r="K780" s="95" t="s">
        <v>231</v>
      </c>
      <c r="L780" s="119">
        <v>128.51</v>
      </c>
      <c r="M780" s="41">
        <f t="shared" si="135"/>
        <v>111.53490000000001</v>
      </c>
      <c r="N780" s="118">
        <v>148.09</v>
      </c>
      <c r="O780" s="116"/>
      <c r="P780" s="116" t="s">
        <v>49</v>
      </c>
      <c r="Q780" s="117"/>
      <c r="R780" s="118"/>
      <c r="S780" s="117"/>
      <c r="T780" s="116"/>
      <c r="V780" s="15"/>
    </row>
    <row r="781" spans="1:22" s="114" customFormat="1" ht="15">
      <c r="A781" s="12" t="s">
        <v>49</v>
      </c>
      <c r="B781" s="65">
        <v>42118.285416666666</v>
      </c>
      <c r="C781" s="14">
        <v>122.62</v>
      </c>
      <c r="D781" s="15">
        <v>80</v>
      </c>
      <c r="E781" s="15">
        <f t="shared" si="131"/>
        <v>9820.6</v>
      </c>
      <c r="F781" s="13"/>
      <c r="G781" s="14">
        <v>141.41</v>
      </c>
      <c r="H781" s="15">
        <f t="shared" si="132"/>
        <v>11312.8</v>
      </c>
      <c r="I781" s="16">
        <f t="shared" si="133"/>
        <v>1492.199999999999</v>
      </c>
      <c r="J781" s="19">
        <f t="shared" si="134"/>
        <v>0.1519459096185568</v>
      </c>
      <c r="K781" s="95" t="s">
        <v>232</v>
      </c>
      <c r="L781" s="119">
        <v>128.51</v>
      </c>
      <c r="M781" s="41">
        <f t="shared" si="135"/>
        <v>114.0366</v>
      </c>
      <c r="N781" s="118">
        <v>148.09</v>
      </c>
      <c r="O781" s="116"/>
      <c r="P781" s="116" t="s">
        <v>49</v>
      </c>
      <c r="Q781" s="117"/>
      <c r="R781" s="118"/>
      <c r="S781" s="117"/>
      <c r="T781" s="116"/>
      <c r="V781" s="15"/>
    </row>
    <row r="782" spans="1:23" s="114" customFormat="1" ht="15">
      <c r="A782" s="12" t="s">
        <v>49</v>
      </c>
      <c r="B782" s="65">
        <v>42138.27222222222</v>
      </c>
      <c r="C782" s="14">
        <v>138.86</v>
      </c>
      <c r="D782" s="15">
        <v>85</v>
      </c>
      <c r="E782" s="15">
        <f t="shared" si="131"/>
        <v>11814.1</v>
      </c>
      <c r="F782" s="13"/>
      <c r="G782" s="14">
        <v>141.41</v>
      </c>
      <c r="H782" s="15">
        <f t="shared" si="132"/>
        <v>12019.85</v>
      </c>
      <c r="I782" s="16">
        <f t="shared" si="133"/>
        <v>205.75</v>
      </c>
      <c r="J782" s="19">
        <f t="shared" si="134"/>
        <v>0.017415630475448828</v>
      </c>
      <c r="K782" s="95" t="s">
        <v>242</v>
      </c>
      <c r="L782" s="119"/>
      <c r="M782" s="20">
        <f t="shared" si="135"/>
        <v>129.1398</v>
      </c>
      <c r="N782" s="118">
        <v>148.09</v>
      </c>
      <c r="O782" s="116"/>
      <c r="P782" s="116" t="s">
        <v>49</v>
      </c>
      <c r="Q782" s="117"/>
      <c r="R782" s="118"/>
      <c r="S782" s="117"/>
      <c r="T782" s="116"/>
      <c r="V782" s="15"/>
      <c r="W782" s="29"/>
    </row>
    <row r="783" spans="1:20" s="114" customFormat="1" ht="15">
      <c r="A783" s="12"/>
      <c r="B783" s="13"/>
      <c r="C783" s="14"/>
      <c r="D783" s="15"/>
      <c r="E783" s="15"/>
      <c r="F783" s="13"/>
      <c r="G783" s="14"/>
      <c r="H783" s="15"/>
      <c r="I783" s="16"/>
      <c r="J783" s="19"/>
      <c r="K783" s="95"/>
      <c r="L783" s="119"/>
      <c r="M783" s="32"/>
      <c r="N783" s="118"/>
      <c r="Q783" s="117"/>
      <c r="R783" s="117"/>
      <c r="S783" s="117"/>
      <c r="T783" s="116"/>
    </row>
    <row r="784" spans="1:20" s="114" customFormat="1" ht="15">
      <c r="A784" s="21" t="s">
        <v>14</v>
      </c>
      <c r="B784" s="22"/>
      <c r="C784" s="23"/>
      <c r="D784" s="24"/>
      <c r="E784" s="24">
        <f>SUM(E742:E783)</f>
        <v>477275.14999999997</v>
      </c>
      <c r="F784" s="22"/>
      <c r="G784" s="23"/>
      <c r="H784" s="24">
        <f>SUM(H742:H783)</f>
        <v>590191.95</v>
      </c>
      <c r="I784" s="25">
        <f>SUM(I742:I783)</f>
        <v>112916.79999999999</v>
      </c>
      <c r="J784" s="26">
        <f>I784/E784</f>
        <v>0.23658637999485202</v>
      </c>
      <c r="K784" s="27" t="s">
        <v>15</v>
      </c>
      <c r="L784" s="28">
        <f>100000+I786</f>
        <v>248797.96</v>
      </c>
      <c r="M784" s="81"/>
      <c r="N784" s="89"/>
      <c r="Q784" s="117"/>
      <c r="R784" s="117"/>
      <c r="S784" s="117"/>
      <c r="T784" s="116"/>
    </row>
    <row r="785" spans="1:20" s="114" customFormat="1" ht="15">
      <c r="A785" s="12" t="s">
        <v>67</v>
      </c>
      <c r="B785" s="22"/>
      <c r="C785" s="25">
        <f>I786-I737</f>
        <v>-3171.350000000006</v>
      </c>
      <c r="D785" s="26">
        <f>C785/H735</f>
        <v>-0.005429349801399501</v>
      </c>
      <c r="E785" s="24"/>
      <c r="F785" s="22" t="s">
        <v>16</v>
      </c>
      <c r="G785" s="117"/>
      <c r="H785" s="29" t="str">
        <f>IF(ABS(H784-E784-I784)&lt;1,"","ERROR")</f>
        <v/>
      </c>
      <c r="I785" s="30">
        <v>35881.159999999996</v>
      </c>
      <c r="J785" s="26"/>
      <c r="K785" s="111" t="s">
        <v>17</v>
      </c>
      <c r="L785" s="28">
        <f>(2*(100000+I786))-E784</f>
        <v>20320.77000000002</v>
      </c>
      <c r="M785" s="31"/>
      <c r="Q785" s="117"/>
      <c r="R785" s="117"/>
      <c r="S785" s="117"/>
      <c r="T785" s="116"/>
    </row>
    <row r="786" spans="1:20" s="114" customFormat="1" ht="15">
      <c r="A786" s="12" t="s">
        <v>54</v>
      </c>
      <c r="B786" s="22"/>
      <c r="C786" s="25">
        <f>L784-L735</f>
        <v>-3171.350000000006</v>
      </c>
      <c r="D786" s="26">
        <f>C786/L735</f>
        <v>-0.012586255048283482</v>
      </c>
      <c r="E786" s="24"/>
      <c r="F786" s="22" t="s">
        <v>18</v>
      </c>
      <c r="G786" s="117"/>
      <c r="H786" s="29"/>
      <c r="I786" s="30">
        <f>I784+I785</f>
        <v>148797.96</v>
      </c>
      <c r="J786" s="26">
        <f>I786/100000</f>
        <v>1.4879795999999998</v>
      </c>
      <c r="K786" s="111" t="s">
        <v>19</v>
      </c>
      <c r="L786" s="26">
        <f>E784/(2*(100000+I786))</f>
        <v>0.9591621048661331</v>
      </c>
      <c r="M786" s="31"/>
      <c r="Q786" s="117"/>
      <c r="R786" s="117"/>
      <c r="S786" s="117"/>
      <c r="T786" s="116"/>
    </row>
    <row r="787" spans="2:20" s="114" customFormat="1" ht="15">
      <c r="B787" s="22"/>
      <c r="C787" s="25"/>
      <c r="D787" s="26"/>
      <c r="E787" s="24"/>
      <c r="F787" s="22"/>
      <c r="G787" s="117"/>
      <c r="H787" s="29"/>
      <c r="I787" s="30"/>
      <c r="J787" s="26"/>
      <c r="K787" s="111"/>
      <c r="L787" s="26"/>
      <c r="M787" s="31"/>
      <c r="Q787" s="117"/>
      <c r="R787" s="117"/>
      <c r="S787" s="117"/>
      <c r="T787" s="116"/>
    </row>
    <row r="788" spans="2:20" s="114" customFormat="1" ht="15">
      <c r="B788" s="22"/>
      <c r="C788" s="25"/>
      <c r="D788" s="26"/>
      <c r="E788" s="24"/>
      <c r="F788" s="22"/>
      <c r="G788" s="117"/>
      <c r="H788" s="29"/>
      <c r="I788" s="30"/>
      <c r="J788" s="26"/>
      <c r="K788" s="111"/>
      <c r="L788" s="26"/>
      <c r="M788" s="31"/>
      <c r="Q788" s="117"/>
      <c r="R788" s="117"/>
      <c r="S788" s="117"/>
      <c r="T788" s="116"/>
    </row>
    <row r="789" spans="1:20" s="114" customFormat="1" ht="30.75" customHeight="1">
      <c r="A789" s="108" t="s">
        <v>56</v>
      </c>
      <c r="B789" s="384" t="s">
        <v>251</v>
      </c>
      <c r="C789" s="384"/>
      <c r="D789" s="384"/>
      <c r="E789" s="384"/>
      <c r="F789" s="384"/>
      <c r="G789" s="384"/>
      <c r="H789" s="384"/>
      <c r="I789" s="384"/>
      <c r="J789" s="384"/>
      <c r="K789" s="384"/>
      <c r="L789" s="384"/>
      <c r="M789" s="384"/>
      <c r="N789" s="384"/>
      <c r="O789" s="92"/>
      <c r="P789" s="92"/>
      <c r="Q789" s="104"/>
      <c r="R789" s="104"/>
      <c r="S789" s="107"/>
      <c r="T789" s="109"/>
    </row>
    <row r="790" spans="1:22" s="114" customFormat="1" ht="15">
      <c r="A790" s="2" t="s">
        <v>0</v>
      </c>
      <c r="B790" s="3" t="s">
        <v>1</v>
      </c>
      <c r="C790" s="4" t="s">
        <v>2</v>
      </c>
      <c r="D790" s="5" t="s">
        <v>3</v>
      </c>
      <c r="E790" s="6" t="s">
        <v>4</v>
      </c>
      <c r="F790" s="3" t="s">
        <v>5</v>
      </c>
      <c r="G790" s="7" t="s">
        <v>2</v>
      </c>
      <c r="H790" s="6" t="s">
        <v>6</v>
      </c>
      <c r="I790" s="6" t="s">
        <v>7</v>
      </c>
      <c r="J790" s="8" t="s">
        <v>8</v>
      </c>
      <c r="K790" s="9" t="s">
        <v>9</v>
      </c>
      <c r="L790" s="10" t="s">
        <v>10</v>
      </c>
      <c r="M790" s="11" t="s">
        <v>11</v>
      </c>
      <c r="N790" s="103" t="s">
        <v>53</v>
      </c>
      <c r="O790" s="105" t="s">
        <v>110</v>
      </c>
      <c r="P790" s="106" t="s">
        <v>0</v>
      </c>
      <c r="Q790" s="117" t="s">
        <v>13</v>
      </c>
      <c r="R790" s="117" t="s">
        <v>70</v>
      </c>
      <c r="S790" s="111" t="s">
        <v>103</v>
      </c>
      <c r="T790" s="116" t="s">
        <v>107</v>
      </c>
      <c r="V790" s="9"/>
    </row>
    <row r="791" spans="1:22" s="114" customFormat="1" ht="15">
      <c r="A791" s="12" t="s">
        <v>80</v>
      </c>
      <c r="B791" s="65">
        <v>42011.30486111111</v>
      </c>
      <c r="C791" s="14">
        <v>58.02</v>
      </c>
      <c r="D791" s="15">
        <v>250</v>
      </c>
      <c r="E791" s="15">
        <f aca="true" t="shared" si="136" ref="E791:E827">C791*D791+11</f>
        <v>14516</v>
      </c>
      <c r="F791" s="13"/>
      <c r="G791" s="14">
        <v>109.78</v>
      </c>
      <c r="H791" s="15">
        <f aca="true" t="shared" si="137" ref="H791:H827">G791*D791</f>
        <v>27445</v>
      </c>
      <c r="I791" s="16">
        <f aca="true" t="shared" si="138" ref="I791:I827">H791-E791</f>
        <v>12929</v>
      </c>
      <c r="J791" s="19">
        <f aca="true" t="shared" si="139" ref="J791:J827">I791/E791</f>
        <v>0.8906723615321025</v>
      </c>
      <c r="K791" s="141" t="s">
        <v>239</v>
      </c>
      <c r="L791" s="140" t="s">
        <v>51</v>
      </c>
      <c r="M791" s="41">
        <f aca="true" t="shared" si="140" ref="M791:M827">C791*0.93</f>
        <v>53.958600000000004</v>
      </c>
      <c r="N791" s="118">
        <v>76.6</v>
      </c>
      <c r="O791" s="121">
        <v>42090</v>
      </c>
      <c r="P791" s="116" t="s">
        <v>80</v>
      </c>
      <c r="Q791" s="117">
        <v>109.97</v>
      </c>
      <c r="R791" s="118">
        <f>Q791*0.855</f>
        <v>94.02435</v>
      </c>
      <c r="S791" s="117">
        <f>1.11*C791</f>
        <v>64.40220000000001</v>
      </c>
      <c r="T791" s="116"/>
      <c r="U791" s="117"/>
      <c r="V791" s="15"/>
    </row>
    <row r="792" spans="1:22" s="114" customFormat="1" ht="15">
      <c r="A792" s="12" t="s">
        <v>80</v>
      </c>
      <c r="B792" s="65">
        <v>42011.40694444445</v>
      </c>
      <c r="C792" s="14">
        <v>59.16</v>
      </c>
      <c r="D792" s="15">
        <v>150</v>
      </c>
      <c r="E792" s="15">
        <f t="shared" si="136"/>
        <v>8885</v>
      </c>
      <c r="F792" s="13"/>
      <c r="G792" s="14">
        <v>109.78</v>
      </c>
      <c r="H792" s="15">
        <f t="shared" si="137"/>
        <v>16467</v>
      </c>
      <c r="I792" s="16">
        <f t="shared" si="138"/>
        <v>7582</v>
      </c>
      <c r="J792" s="122">
        <f t="shared" si="139"/>
        <v>0.8533483398987057</v>
      </c>
      <c r="K792" s="95" t="s">
        <v>82</v>
      </c>
      <c r="L792" s="140" t="s">
        <v>51</v>
      </c>
      <c r="M792" s="41">
        <f t="shared" si="140"/>
        <v>55.0188</v>
      </c>
      <c r="N792" s="118">
        <v>77.93</v>
      </c>
      <c r="O792" s="116"/>
      <c r="P792" s="116" t="s">
        <v>80</v>
      </c>
      <c r="Q792" s="117"/>
      <c r="R792" s="118"/>
      <c r="S792" s="117"/>
      <c r="T792" s="116"/>
      <c r="V792" s="15"/>
    </row>
    <row r="793" spans="1:22" s="114" customFormat="1" ht="15">
      <c r="A793" s="12" t="s">
        <v>80</v>
      </c>
      <c r="B793" s="65">
        <v>42012.29305555556</v>
      </c>
      <c r="C793" s="14">
        <v>60.3</v>
      </c>
      <c r="D793" s="15">
        <v>100</v>
      </c>
      <c r="E793" s="15">
        <f t="shared" si="136"/>
        <v>6041</v>
      </c>
      <c r="F793" s="13"/>
      <c r="G793" s="14">
        <v>109.78</v>
      </c>
      <c r="H793" s="15">
        <f t="shared" si="137"/>
        <v>10978</v>
      </c>
      <c r="I793" s="16">
        <f t="shared" si="138"/>
        <v>4937</v>
      </c>
      <c r="J793" s="19">
        <f t="shared" si="139"/>
        <v>0.8172487998675716</v>
      </c>
      <c r="K793" s="95" t="s">
        <v>83</v>
      </c>
      <c r="L793" s="140" t="s">
        <v>51</v>
      </c>
      <c r="M793" s="41">
        <f t="shared" si="140"/>
        <v>56.079</v>
      </c>
      <c r="N793" s="118">
        <v>77.93</v>
      </c>
      <c r="O793" s="116"/>
      <c r="P793" s="116" t="s">
        <v>80</v>
      </c>
      <c r="Q793" s="117"/>
      <c r="R793" s="118"/>
      <c r="S793" s="117"/>
      <c r="T793" s="116"/>
      <c r="V793" s="15"/>
    </row>
    <row r="794" spans="1:22" s="114" customFormat="1" ht="15">
      <c r="A794" s="12" t="s">
        <v>80</v>
      </c>
      <c r="B794" s="65">
        <v>42047.271527777775</v>
      </c>
      <c r="C794" s="14">
        <v>64.65</v>
      </c>
      <c r="D794" s="15">
        <v>100</v>
      </c>
      <c r="E794" s="15">
        <f t="shared" si="136"/>
        <v>6476.000000000001</v>
      </c>
      <c r="F794" s="13"/>
      <c r="G794" s="14">
        <v>109.78</v>
      </c>
      <c r="H794" s="15">
        <f t="shared" si="137"/>
        <v>10978</v>
      </c>
      <c r="I794" s="16">
        <f t="shared" si="138"/>
        <v>4501.999999999999</v>
      </c>
      <c r="J794" s="19">
        <f t="shared" si="139"/>
        <v>0.6951822112415069</v>
      </c>
      <c r="K794" s="95" t="s">
        <v>132</v>
      </c>
      <c r="L794" s="140" t="s">
        <v>51</v>
      </c>
      <c r="M794" s="41">
        <f t="shared" si="140"/>
        <v>60.12450000000001</v>
      </c>
      <c r="N794" s="118">
        <v>77.93</v>
      </c>
      <c r="O794" s="116"/>
      <c r="P794" s="116" t="s">
        <v>80</v>
      </c>
      <c r="Q794" s="117"/>
      <c r="R794" s="118"/>
      <c r="S794" s="117"/>
      <c r="T794" s="116"/>
      <c r="V794" s="15"/>
    </row>
    <row r="795" spans="1:22" s="114" customFormat="1" ht="15">
      <c r="A795" s="12" t="s">
        <v>80</v>
      </c>
      <c r="B795" s="65">
        <v>42081.34097222222</v>
      </c>
      <c r="C795" s="14">
        <v>70</v>
      </c>
      <c r="D795" s="15">
        <v>120</v>
      </c>
      <c r="E795" s="15">
        <f t="shared" si="136"/>
        <v>8411</v>
      </c>
      <c r="F795" s="13"/>
      <c r="G795" s="14">
        <v>109.78</v>
      </c>
      <c r="H795" s="15">
        <f t="shared" si="137"/>
        <v>13173.6</v>
      </c>
      <c r="I795" s="16">
        <f t="shared" si="138"/>
        <v>4762.6</v>
      </c>
      <c r="J795" s="19">
        <f t="shared" si="139"/>
        <v>0.5662346926643681</v>
      </c>
      <c r="K795" s="95" t="s">
        <v>181</v>
      </c>
      <c r="L795" s="140" t="s">
        <v>51</v>
      </c>
      <c r="M795" s="41">
        <f t="shared" si="140"/>
        <v>65.10000000000001</v>
      </c>
      <c r="N795" s="118">
        <v>77.93</v>
      </c>
      <c r="O795" s="116"/>
      <c r="P795" s="116" t="s">
        <v>80</v>
      </c>
      <c r="Q795" s="117"/>
      <c r="R795" s="118"/>
      <c r="S795" s="117"/>
      <c r="T795" s="116"/>
      <c r="V795" s="15"/>
    </row>
    <row r="796" spans="1:22" s="114" customFormat="1" ht="15">
      <c r="A796" s="12" t="s">
        <v>80</v>
      </c>
      <c r="B796" s="65">
        <v>42117.55694444444</v>
      </c>
      <c r="C796" s="14">
        <v>77.75</v>
      </c>
      <c r="D796" s="15">
        <v>150</v>
      </c>
      <c r="E796" s="15">
        <f t="shared" si="136"/>
        <v>11673.5</v>
      </c>
      <c r="F796" s="13"/>
      <c r="G796" s="14">
        <v>109.78</v>
      </c>
      <c r="H796" s="15">
        <f t="shared" si="137"/>
        <v>16467</v>
      </c>
      <c r="I796" s="16">
        <f t="shared" si="138"/>
        <v>4793.5</v>
      </c>
      <c r="J796" s="19">
        <f t="shared" si="139"/>
        <v>0.4106309161776674</v>
      </c>
      <c r="K796" s="95" t="s">
        <v>233</v>
      </c>
      <c r="L796" s="140" t="s">
        <v>51</v>
      </c>
      <c r="M796" s="41">
        <f t="shared" si="140"/>
        <v>72.3075</v>
      </c>
      <c r="N796" s="118">
        <v>77.93</v>
      </c>
      <c r="O796" s="116"/>
      <c r="P796" s="116" t="s">
        <v>80</v>
      </c>
      <c r="Q796" s="117"/>
      <c r="R796" s="118"/>
      <c r="S796" s="117"/>
      <c r="T796" s="116"/>
      <c r="V796" s="15"/>
    </row>
    <row r="797" spans="1:23" s="114" customFormat="1" ht="15">
      <c r="A797" s="12" t="s">
        <v>80</v>
      </c>
      <c r="B797" s="65">
        <v>42128.525</v>
      </c>
      <c r="C797" s="14">
        <v>93.09</v>
      </c>
      <c r="D797" s="15">
        <v>180</v>
      </c>
      <c r="E797" s="15">
        <f t="shared" si="136"/>
        <v>16767.2</v>
      </c>
      <c r="F797" s="13"/>
      <c r="G797" s="14">
        <v>109.78</v>
      </c>
      <c r="H797" s="15">
        <f t="shared" si="137"/>
        <v>19760.4</v>
      </c>
      <c r="I797" s="16">
        <f t="shared" si="138"/>
        <v>2993.2000000000007</v>
      </c>
      <c r="J797" s="19">
        <f t="shared" si="139"/>
        <v>0.17851519633570306</v>
      </c>
      <c r="K797" s="95" t="s">
        <v>244</v>
      </c>
      <c r="L797" s="140" t="s">
        <v>51</v>
      </c>
      <c r="M797" s="41">
        <f t="shared" si="140"/>
        <v>86.5737</v>
      </c>
      <c r="N797" s="118">
        <v>77.93</v>
      </c>
      <c r="O797" s="116"/>
      <c r="P797" s="116" t="s">
        <v>80</v>
      </c>
      <c r="Q797" s="117"/>
      <c r="R797" s="118"/>
      <c r="S797" s="117"/>
      <c r="T797" s="116"/>
      <c r="V797" s="15"/>
      <c r="W797" s="29"/>
    </row>
    <row r="798" spans="1:22" s="114" customFormat="1" ht="15">
      <c r="A798" s="12" t="s">
        <v>61</v>
      </c>
      <c r="B798" s="65">
        <v>42040.27847222222</v>
      </c>
      <c r="C798" s="14">
        <v>132.85</v>
      </c>
      <c r="D798" s="15">
        <v>110</v>
      </c>
      <c r="E798" s="15">
        <f t="shared" si="136"/>
        <v>14624.5</v>
      </c>
      <c r="F798" s="65"/>
      <c r="G798" s="14">
        <v>156.28</v>
      </c>
      <c r="H798" s="15">
        <f t="shared" si="137"/>
        <v>17190.8</v>
      </c>
      <c r="I798" s="16">
        <f t="shared" si="138"/>
        <v>2566.2999999999993</v>
      </c>
      <c r="J798" s="19">
        <f t="shared" si="139"/>
        <v>0.17547950357277167</v>
      </c>
      <c r="K798" s="95" t="s">
        <v>134</v>
      </c>
      <c r="L798" s="119">
        <v>136.67</v>
      </c>
      <c r="M798" s="41">
        <f t="shared" si="140"/>
        <v>123.5505</v>
      </c>
      <c r="N798" s="118">
        <v>168.13</v>
      </c>
      <c r="O798" s="121">
        <v>42086</v>
      </c>
      <c r="P798" s="116" t="s">
        <v>61</v>
      </c>
      <c r="Q798" s="117">
        <v>159.85</v>
      </c>
      <c r="R798" s="118">
        <f>Q798*0.855</f>
        <v>136.67175</v>
      </c>
      <c r="S798" s="117">
        <f>1.11*C798</f>
        <v>147.4635</v>
      </c>
      <c r="T798" s="116"/>
      <c r="U798" s="117"/>
      <c r="V798" s="15"/>
    </row>
    <row r="799" spans="1:22" s="114" customFormat="1" ht="15">
      <c r="A799" s="12" t="s">
        <v>61</v>
      </c>
      <c r="B799" s="65">
        <v>42045.27291666667</v>
      </c>
      <c r="C799" s="14">
        <v>135.9</v>
      </c>
      <c r="D799" s="15">
        <v>65</v>
      </c>
      <c r="E799" s="15">
        <f t="shared" si="136"/>
        <v>8844.5</v>
      </c>
      <c r="F799" s="13"/>
      <c r="G799" s="14">
        <v>156.28</v>
      </c>
      <c r="H799" s="15">
        <f t="shared" si="137"/>
        <v>10158.2</v>
      </c>
      <c r="I799" s="16">
        <f t="shared" si="138"/>
        <v>1313.7000000000007</v>
      </c>
      <c r="J799" s="19">
        <f t="shared" si="139"/>
        <v>0.14853298660184303</v>
      </c>
      <c r="K799" s="95" t="s">
        <v>141</v>
      </c>
      <c r="L799" s="119">
        <v>136.67</v>
      </c>
      <c r="M799" s="41">
        <f t="shared" si="140"/>
        <v>126.38700000000001</v>
      </c>
      <c r="N799" s="118">
        <v>168.13</v>
      </c>
      <c r="O799" s="116"/>
      <c r="P799" s="116" t="s">
        <v>61</v>
      </c>
      <c r="Q799" s="117"/>
      <c r="R799" s="118"/>
      <c r="S799" s="117"/>
      <c r="T799" s="116"/>
      <c r="V799" s="15"/>
    </row>
    <row r="800" spans="1:22" s="114" customFormat="1" ht="15">
      <c r="A800" s="12" t="s">
        <v>61</v>
      </c>
      <c r="B800" s="65">
        <v>42054.277083333334</v>
      </c>
      <c r="C800" s="14">
        <v>139.17</v>
      </c>
      <c r="D800" s="15">
        <v>40</v>
      </c>
      <c r="E800" s="15">
        <f t="shared" si="136"/>
        <v>5577.799999999999</v>
      </c>
      <c r="F800" s="13"/>
      <c r="G800" s="14">
        <v>156.28</v>
      </c>
      <c r="H800" s="15">
        <f t="shared" si="137"/>
        <v>6251.2</v>
      </c>
      <c r="I800" s="16">
        <f t="shared" si="138"/>
        <v>673.4000000000005</v>
      </c>
      <c r="J800" s="19">
        <f t="shared" si="139"/>
        <v>0.12072860267488986</v>
      </c>
      <c r="K800" s="95" t="s">
        <v>140</v>
      </c>
      <c r="L800" s="119">
        <v>136.67</v>
      </c>
      <c r="M800" s="41">
        <f t="shared" si="140"/>
        <v>129.4281</v>
      </c>
      <c r="N800" s="118">
        <v>168.13</v>
      </c>
      <c r="O800" s="116"/>
      <c r="P800" s="116" t="s">
        <v>61</v>
      </c>
      <c r="Q800" s="117"/>
      <c r="R800" s="118"/>
      <c r="S800" s="117"/>
      <c r="T800" s="116"/>
      <c r="V800" s="15"/>
    </row>
    <row r="801" spans="1:22" s="114" customFormat="1" ht="15">
      <c r="A801" s="12" t="s">
        <v>61</v>
      </c>
      <c r="B801" s="65">
        <v>42075.56458333333</v>
      </c>
      <c r="C801" s="14">
        <v>154</v>
      </c>
      <c r="D801" s="15">
        <v>40</v>
      </c>
      <c r="E801" s="15">
        <f t="shared" si="136"/>
        <v>6171</v>
      </c>
      <c r="F801" s="13"/>
      <c r="G801" s="14">
        <v>156.28</v>
      </c>
      <c r="H801" s="15">
        <f t="shared" si="137"/>
        <v>6251.2</v>
      </c>
      <c r="I801" s="16">
        <f t="shared" si="138"/>
        <v>80.19999999999982</v>
      </c>
      <c r="J801" s="19">
        <f t="shared" si="139"/>
        <v>0.012996272889320988</v>
      </c>
      <c r="K801" s="95" t="s">
        <v>160</v>
      </c>
      <c r="L801" s="119"/>
      <c r="M801" s="20">
        <f t="shared" si="140"/>
        <v>143.22</v>
      </c>
      <c r="N801" s="118">
        <v>168.13</v>
      </c>
      <c r="O801" s="116"/>
      <c r="P801" s="116" t="s">
        <v>61</v>
      </c>
      <c r="Q801" s="117"/>
      <c r="R801" s="118"/>
      <c r="S801" s="117"/>
      <c r="T801" s="116"/>
      <c r="V801" s="15"/>
    </row>
    <row r="802" spans="1:23" s="114" customFormat="1" ht="15">
      <c r="A802" s="12" t="s">
        <v>61</v>
      </c>
      <c r="B802" s="65">
        <v>42109.27222222222</v>
      </c>
      <c r="C802" s="14">
        <v>156.13</v>
      </c>
      <c r="D802" s="15">
        <v>50</v>
      </c>
      <c r="E802" s="15">
        <f t="shared" si="136"/>
        <v>7817.5</v>
      </c>
      <c r="F802" s="13"/>
      <c r="G802" s="14">
        <v>156.28</v>
      </c>
      <c r="H802" s="15">
        <f t="shared" si="137"/>
        <v>7814</v>
      </c>
      <c r="I802" s="16">
        <f t="shared" si="138"/>
        <v>-3.5</v>
      </c>
      <c r="J802" s="19">
        <f t="shared" si="139"/>
        <v>-0.0004477134633834346</v>
      </c>
      <c r="K802" s="95" t="s">
        <v>221</v>
      </c>
      <c r="L802" s="119"/>
      <c r="M802" s="20">
        <f t="shared" si="140"/>
        <v>145.2009</v>
      </c>
      <c r="N802" s="118">
        <v>168.13</v>
      </c>
      <c r="O802" s="116"/>
      <c r="P802" s="116" t="s">
        <v>61</v>
      </c>
      <c r="Q802" s="117"/>
      <c r="R802" s="118"/>
      <c r="S802" s="117"/>
      <c r="T802" s="116"/>
      <c r="V802" s="15"/>
      <c r="W802" s="29"/>
    </row>
    <row r="803" spans="1:22" s="114" customFormat="1" ht="15">
      <c r="A803" s="12" t="s">
        <v>52</v>
      </c>
      <c r="B803" s="65">
        <v>42046.27361111111</v>
      </c>
      <c r="C803" s="14">
        <v>129.75</v>
      </c>
      <c r="D803" s="15">
        <v>80</v>
      </c>
      <c r="E803" s="15">
        <f t="shared" si="136"/>
        <v>10391</v>
      </c>
      <c r="F803" s="65"/>
      <c r="G803" s="14">
        <v>173.59</v>
      </c>
      <c r="H803" s="15">
        <f t="shared" si="137"/>
        <v>13887.2</v>
      </c>
      <c r="I803" s="16">
        <f t="shared" si="138"/>
        <v>3496.2000000000007</v>
      </c>
      <c r="J803" s="19">
        <f t="shared" si="139"/>
        <v>0.33646424790684254</v>
      </c>
      <c r="K803" s="95" t="s">
        <v>135</v>
      </c>
      <c r="L803" s="140" t="s">
        <v>252</v>
      </c>
      <c r="M803" s="41">
        <f t="shared" si="140"/>
        <v>120.6675</v>
      </c>
      <c r="N803" s="118">
        <v>161.78</v>
      </c>
      <c r="O803" s="121">
        <f>WORKDAY(B803,40,'Weekly Summary'!P$2:P$10)</f>
        <v>42104</v>
      </c>
      <c r="P803" s="116" t="s">
        <v>52</v>
      </c>
      <c r="Q803" s="117">
        <v>173.98</v>
      </c>
      <c r="R803" s="118">
        <f>Q803*0.855</f>
        <v>148.75289999999998</v>
      </c>
      <c r="S803" s="117">
        <f>1.11*C803</f>
        <v>144.0225</v>
      </c>
      <c r="T803" s="116"/>
      <c r="U803" s="117"/>
      <c r="V803" s="15"/>
    </row>
    <row r="804" spans="1:22" s="114" customFormat="1" ht="15">
      <c r="A804" s="12" t="s">
        <v>52</v>
      </c>
      <c r="B804" s="65">
        <v>42047.275</v>
      </c>
      <c r="C804" s="14">
        <v>133.95</v>
      </c>
      <c r="D804" s="15">
        <v>45</v>
      </c>
      <c r="E804" s="15">
        <f t="shared" si="136"/>
        <v>6038.749999999999</v>
      </c>
      <c r="F804" s="13"/>
      <c r="G804" s="14">
        <v>173.59</v>
      </c>
      <c r="H804" s="15">
        <f t="shared" si="137"/>
        <v>7811.55</v>
      </c>
      <c r="I804" s="16">
        <f t="shared" si="138"/>
        <v>1772.800000000001</v>
      </c>
      <c r="J804" s="19">
        <f t="shared" si="139"/>
        <v>0.2935706892982822</v>
      </c>
      <c r="K804" s="95" t="s">
        <v>136</v>
      </c>
      <c r="L804" s="140" t="s">
        <v>252</v>
      </c>
      <c r="M804" s="41">
        <f t="shared" si="140"/>
        <v>124.5735</v>
      </c>
      <c r="N804" s="118">
        <v>161.78</v>
      </c>
      <c r="O804" s="116"/>
      <c r="P804" s="116" t="s">
        <v>52</v>
      </c>
      <c r="Q804" s="117"/>
      <c r="R804" s="118"/>
      <c r="S804" s="117"/>
      <c r="T804" s="116"/>
      <c r="V804" s="15"/>
    </row>
    <row r="805" spans="1:22" s="114" customFormat="1" ht="15">
      <c r="A805" s="12" t="s">
        <v>52</v>
      </c>
      <c r="B805" s="65">
        <v>42048.450694444444</v>
      </c>
      <c r="C805" s="14">
        <v>135.8</v>
      </c>
      <c r="D805" s="15">
        <v>30</v>
      </c>
      <c r="E805" s="15">
        <f t="shared" si="136"/>
        <v>4085.0000000000005</v>
      </c>
      <c r="F805" s="13"/>
      <c r="G805" s="14">
        <v>173.59</v>
      </c>
      <c r="H805" s="15">
        <f t="shared" si="137"/>
        <v>5207.7</v>
      </c>
      <c r="I805" s="16">
        <f t="shared" si="138"/>
        <v>1122.6999999999994</v>
      </c>
      <c r="J805" s="19">
        <f t="shared" si="139"/>
        <v>0.27483476132190926</v>
      </c>
      <c r="K805" s="95" t="s">
        <v>143</v>
      </c>
      <c r="L805" s="140" t="s">
        <v>252</v>
      </c>
      <c r="M805" s="41">
        <f t="shared" si="140"/>
        <v>126.29400000000001</v>
      </c>
      <c r="N805" s="118">
        <v>161.78</v>
      </c>
      <c r="O805" s="116"/>
      <c r="P805" s="116" t="s">
        <v>52</v>
      </c>
      <c r="Q805" s="117"/>
      <c r="R805" s="118"/>
      <c r="S805" s="117"/>
      <c r="T805" s="116"/>
      <c r="V805" s="15"/>
    </row>
    <row r="806" spans="1:22" s="114" customFormat="1" ht="15">
      <c r="A806" s="12" t="s">
        <v>52</v>
      </c>
      <c r="B806" s="65">
        <v>42074.29027777778</v>
      </c>
      <c r="C806" s="14">
        <v>140.55</v>
      </c>
      <c r="D806" s="15">
        <v>30</v>
      </c>
      <c r="E806" s="15">
        <f t="shared" si="136"/>
        <v>4227.5</v>
      </c>
      <c r="F806" s="13"/>
      <c r="G806" s="14">
        <v>173.59</v>
      </c>
      <c r="H806" s="15">
        <f t="shared" si="137"/>
        <v>5207.7</v>
      </c>
      <c r="I806" s="16">
        <f t="shared" si="138"/>
        <v>980.1999999999998</v>
      </c>
      <c r="J806" s="19">
        <f t="shared" si="139"/>
        <v>0.23186280307510346</v>
      </c>
      <c r="K806" s="95" t="s">
        <v>182</v>
      </c>
      <c r="L806" s="140" t="s">
        <v>252</v>
      </c>
      <c r="M806" s="41">
        <f t="shared" si="140"/>
        <v>130.71150000000003</v>
      </c>
      <c r="N806" s="118">
        <v>161.78</v>
      </c>
      <c r="O806" s="116"/>
      <c r="P806" s="116" t="s">
        <v>52</v>
      </c>
      <c r="Q806" s="117"/>
      <c r="R806" s="118"/>
      <c r="S806" s="117"/>
      <c r="T806" s="116"/>
      <c r="V806" s="15"/>
    </row>
    <row r="807" spans="1:23" s="114" customFormat="1" ht="15">
      <c r="A807" s="12" t="s">
        <v>52</v>
      </c>
      <c r="B807" s="65">
        <v>42093.27638888889</v>
      </c>
      <c r="C807" s="14">
        <v>149.29</v>
      </c>
      <c r="D807" s="15">
        <v>40</v>
      </c>
      <c r="E807" s="15">
        <f t="shared" si="136"/>
        <v>5982.599999999999</v>
      </c>
      <c r="F807" s="13"/>
      <c r="G807" s="14">
        <v>173.59</v>
      </c>
      <c r="H807" s="15">
        <f t="shared" si="137"/>
        <v>6943.6</v>
      </c>
      <c r="I807" s="16">
        <f t="shared" si="138"/>
        <v>961.0000000000009</v>
      </c>
      <c r="J807" s="19">
        <f t="shared" si="139"/>
        <v>0.1606325009193329</v>
      </c>
      <c r="K807" s="95" t="s">
        <v>213</v>
      </c>
      <c r="L807" s="140" t="s">
        <v>252</v>
      </c>
      <c r="M807" s="41">
        <f t="shared" si="140"/>
        <v>138.8397</v>
      </c>
      <c r="N807" s="118">
        <v>161.78</v>
      </c>
      <c r="O807" s="116"/>
      <c r="P807" s="116" t="s">
        <v>52</v>
      </c>
      <c r="Q807" s="117"/>
      <c r="R807" s="118"/>
      <c r="S807" s="117"/>
      <c r="T807" s="116"/>
      <c r="V807" s="15"/>
      <c r="W807" s="29"/>
    </row>
    <row r="808" spans="1:24" s="114" customFormat="1" ht="15">
      <c r="A808" s="12" t="s">
        <v>52</v>
      </c>
      <c r="B808" s="65">
        <v>42142.46666666667</v>
      </c>
      <c r="C808" s="14">
        <v>158</v>
      </c>
      <c r="D808" s="15">
        <v>45</v>
      </c>
      <c r="E808" s="15">
        <f t="shared" si="136"/>
        <v>7121</v>
      </c>
      <c r="F808" s="13"/>
      <c r="G808" s="14">
        <v>173.59</v>
      </c>
      <c r="H808" s="15">
        <f t="shared" si="137"/>
        <v>7811.55</v>
      </c>
      <c r="I808" s="16">
        <f t="shared" si="138"/>
        <v>690.5500000000002</v>
      </c>
      <c r="J808" s="19">
        <f t="shared" si="139"/>
        <v>0.09697373964330855</v>
      </c>
      <c r="K808" s="95" t="s">
        <v>246</v>
      </c>
      <c r="L808" s="140" t="s">
        <v>253</v>
      </c>
      <c r="M808" s="41">
        <f t="shared" si="140"/>
        <v>146.94</v>
      </c>
      <c r="N808" s="118">
        <v>161.78</v>
      </c>
      <c r="O808" s="116"/>
      <c r="P808" s="116" t="s">
        <v>52</v>
      </c>
      <c r="Q808" s="117"/>
      <c r="R808" s="118"/>
      <c r="S808" s="117"/>
      <c r="T808" s="116"/>
      <c r="V808" s="15"/>
      <c r="W808" s="29"/>
      <c r="X808" s="29"/>
    </row>
    <row r="809" spans="1:24" s="114" customFormat="1" ht="15">
      <c r="A809" s="12" t="s">
        <v>52</v>
      </c>
      <c r="B809" s="65">
        <v>42152.50625</v>
      </c>
      <c r="C809" s="14">
        <v>168</v>
      </c>
      <c r="D809" s="15">
        <v>55</v>
      </c>
      <c r="E809" s="15">
        <f t="shared" si="136"/>
        <v>9251</v>
      </c>
      <c r="F809" s="13"/>
      <c r="G809" s="14">
        <v>173.59</v>
      </c>
      <c r="H809" s="15">
        <f t="shared" si="137"/>
        <v>9547.45</v>
      </c>
      <c r="I809" s="16">
        <f t="shared" si="138"/>
        <v>296.4500000000007</v>
      </c>
      <c r="J809" s="19">
        <f t="shared" si="139"/>
        <v>0.0320451843043996</v>
      </c>
      <c r="K809" s="95" t="s">
        <v>244</v>
      </c>
      <c r="L809" s="140" t="s">
        <v>254</v>
      </c>
      <c r="M809" s="41">
        <f t="shared" si="140"/>
        <v>156.24</v>
      </c>
      <c r="N809" s="118">
        <v>161.78</v>
      </c>
      <c r="O809" s="116"/>
      <c r="P809" s="116" t="s">
        <v>52</v>
      </c>
      <c r="Q809" s="117"/>
      <c r="R809" s="118"/>
      <c r="S809" s="117"/>
      <c r="T809" s="116"/>
      <c r="V809" s="15"/>
      <c r="W809" s="29"/>
      <c r="X809" s="29"/>
    </row>
    <row r="810" spans="1:22" s="114" customFormat="1" ht="15">
      <c r="A810" s="12" t="s">
        <v>39</v>
      </c>
      <c r="B810" s="65">
        <v>42062.53680555556</v>
      </c>
      <c r="C810" s="14">
        <v>57.65</v>
      </c>
      <c r="D810" s="15">
        <v>100</v>
      </c>
      <c r="E810" s="15">
        <f t="shared" si="136"/>
        <v>5776</v>
      </c>
      <c r="F810" s="13"/>
      <c r="G810" s="14">
        <v>103.33</v>
      </c>
      <c r="H810" s="15">
        <f t="shared" si="137"/>
        <v>10333</v>
      </c>
      <c r="I810" s="16">
        <f t="shared" si="138"/>
        <v>4557</v>
      </c>
      <c r="J810" s="19">
        <f t="shared" si="139"/>
        <v>0.7889542936288089</v>
      </c>
      <c r="K810" s="141" t="s">
        <v>243</v>
      </c>
      <c r="L810" s="143" t="s">
        <v>250</v>
      </c>
      <c r="M810" s="41">
        <f t="shared" si="140"/>
        <v>53.6145</v>
      </c>
      <c r="N810" s="142">
        <v>79</v>
      </c>
      <c r="O810" s="121">
        <v>42124</v>
      </c>
      <c r="P810" s="116" t="s">
        <v>39</v>
      </c>
      <c r="Q810" s="117">
        <v>104.12</v>
      </c>
      <c r="R810" s="118">
        <f>Q810*0.855</f>
        <v>89.0226</v>
      </c>
      <c r="S810" s="117">
        <f>1.11*C810</f>
        <v>63.9915</v>
      </c>
      <c r="T810" s="116"/>
      <c r="U810" s="117"/>
      <c r="V810" s="15"/>
    </row>
    <row r="811" spans="1:22" s="114" customFormat="1" ht="15">
      <c r="A811" s="12" t="s">
        <v>39</v>
      </c>
      <c r="B811" s="65">
        <v>42073.322916666664</v>
      </c>
      <c r="C811" s="14">
        <v>65.15</v>
      </c>
      <c r="D811" s="15">
        <v>350</v>
      </c>
      <c r="E811" s="15">
        <f t="shared" si="136"/>
        <v>22813.500000000004</v>
      </c>
      <c r="F811" s="13"/>
      <c r="G811" s="14">
        <v>103.33</v>
      </c>
      <c r="H811" s="15">
        <f t="shared" si="137"/>
        <v>36165.5</v>
      </c>
      <c r="I811" s="16">
        <f t="shared" si="138"/>
        <v>13351.999999999996</v>
      </c>
      <c r="J811" s="19">
        <f t="shared" si="139"/>
        <v>0.5852674951235012</v>
      </c>
      <c r="K811" s="95" t="s">
        <v>164</v>
      </c>
      <c r="L811" s="143" t="s">
        <v>250</v>
      </c>
      <c r="M811" s="41">
        <f t="shared" si="140"/>
        <v>60.58950000000001</v>
      </c>
      <c r="N811" s="142">
        <v>79</v>
      </c>
      <c r="O811" s="116"/>
      <c r="P811" s="116" t="s">
        <v>39</v>
      </c>
      <c r="Q811" s="117"/>
      <c r="R811" s="118"/>
      <c r="S811" s="117"/>
      <c r="T811" s="116"/>
      <c r="V811" s="15"/>
    </row>
    <row r="812" spans="1:22" s="114" customFormat="1" ht="15">
      <c r="A812" s="12" t="s">
        <v>39</v>
      </c>
      <c r="B812" s="65">
        <v>42073.35555555556</v>
      </c>
      <c r="C812" s="14">
        <v>66.15</v>
      </c>
      <c r="D812" s="15">
        <v>110</v>
      </c>
      <c r="E812" s="15">
        <f t="shared" si="136"/>
        <v>7287.500000000001</v>
      </c>
      <c r="F812" s="13"/>
      <c r="G812" s="14">
        <v>103.33</v>
      </c>
      <c r="H812" s="15">
        <f t="shared" si="137"/>
        <v>11366.3</v>
      </c>
      <c r="I812" s="16">
        <f t="shared" si="138"/>
        <v>4078.7999999999984</v>
      </c>
      <c r="J812" s="19">
        <f t="shared" si="139"/>
        <v>0.5596981132075469</v>
      </c>
      <c r="K812" s="132" t="s">
        <v>249</v>
      </c>
      <c r="L812" s="143" t="s">
        <v>250</v>
      </c>
      <c r="M812" s="41">
        <f t="shared" si="140"/>
        <v>61.51950000000001</v>
      </c>
      <c r="N812" s="142">
        <v>79</v>
      </c>
      <c r="O812" s="116"/>
      <c r="P812" s="116" t="s">
        <v>39</v>
      </c>
      <c r="Q812" s="117"/>
      <c r="R812" s="118"/>
      <c r="S812" s="117"/>
      <c r="T812" s="116"/>
      <c r="V812" s="15"/>
    </row>
    <row r="813" spans="1:22" s="114" customFormat="1" ht="15">
      <c r="A813" s="12" t="s">
        <v>39</v>
      </c>
      <c r="B813" s="65">
        <v>42093.34375</v>
      </c>
      <c r="C813" s="14">
        <v>73.37</v>
      </c>
      <c r="D813" s="15">
        <v>110</v>
      </c>
      <c r="E813" s="15">
        <f t="shared" si="136"/>
        <v>8081.700000000001</v>
      </c>
      <c r="F813" s="13"/>
      <c r="G813" s="14">
        <v>103.33</v>
      </c>
      <c r="H813" s="15">
        <f t="shared" si="137"/>
        <v>11366.3</v>
      </c>
      <c r="I813" s="16">
        <f t="shared" si="138"/>
        <v>3284.5999999999985</v>
      </c>
      <c r="J813" s="19">
        <f t="shared" si="139"/>
        <v>0.4064243909078533</v>
      </c>
      <c r="K813" s="95" t="s">
        <v>214</v>
      </c>
      <c r="L813" s="143" t="s">
        <v>250</v>
      </c>
      <c r="M813" s="41">
        <f t="shared" si="140"/>
        <v>68.23410000000001</v>
      </c>
      <c r="N813" s="142">
        <v>79</v>
      </c>
      <c r="O813" s="116"/>
      <c r="P813" s="116" t="s">
        <v>39</v>
      </c>
      <c r="Q813" s="117"/>
      <c r="R813" s="118"/>
      <c r="S813" s="117"/>
      <c r="T813" s="116"/>
      <c r="V813" s="15"/>
    </row>
    <row r="814" spans="1:23" s="114" customFormat="1" ht="15">
      <c r="A814" s="12" t="s">
        <v>39</v>
      </c>
      <c r="B814" s="65">
        <v>42139.313888888886</v>
      </c>
      <c r="C814" s="14">
        <v>77.5</v>
      </c>
      <c r="D814" s="15">
        <v>200</v>
      </c>
      <c r="E814" s="15">
        <f t="shared" si="136"/>
        <v>15511</v>
      </c>
      <c r="F814" s="13"/>
      <c r="G814" s="14">
        <v>103.33</v>
      </c>
      <c r="H814" s="15">
        <f t="shared" si="137"/>
        <v>20666</v>
      </c>
      <c r="I814" s="16">
        <f t="shared" si="138"/>
        <v>5155</v>
      </c>
      <c r="J814" s="19">
        <f t="shared" si="139"/>
        <v>0.33234478757011154</v>
      </c>
      <c r="K814" s="95" t="s">
        <v>241</v>
      </c>
      <c r="L814" s="143" t="s">
        <v>250</v>
      </c>
      <c r="M814" s="41">
        <f t="shared" si="140"/>
        <v>72.075</v>
      </c>
      <c r="N814" s="142">
        <v>79</v>
      </c>
      <c r="O814" s="116"/>
      <c r="P814" s="116" t="s">
        <v>39</v>
      </c>
      <c r="Q814" s="117"/>
      <c r="R814" s="118"/>
      <c r="S814" s="117"/>
      <c r="T814" s="116"/>
      <c r="V814" s="15"/>
      <c r="W814" s="29"/>
    </row>
    <row r="815" spans="1:23" s="114" customFormat="1" ht="15">
      <c r="A815" s="85" t="s">
        <v>39</v>
      </c>
      <c r="B815" s="65">
        <v>42156.38402777778</v>
      </c>
      <c r="C815" s="14">
        <v>93.05</v>
      </c>
      <c r="D815" s="15">
        <v>180</v>
      </c>
      <c r="E815" s="15">
        <f t="shared" si="136"/>
        <v>16760</v>
      </c>
      <c r="F815" s="13"/>
      <c r="G815" s="14">
        <v>103.33</v>
      </c>
      <c r="H815" s="15">
        <f t="shared" si="137"/>
        <v>18599.4</v>
      </c>
      <c r="I815" s="16">
        <f t="shared" si="138"/>
        <v>1839.4000000000015</v>
      </c>
      <c r="J815" s="19">
        <f t="shared" si="139"/>
        <v>0.10974940334128887</v>
      </c>
      <c r="K815" s="95" t="s">
        <v>255</v>
      </c>
      <c r="L815" s="143" t="s">
        <v>250</v>
      </c>
      <c r="M815" s="20">
        <f t="shared" si="140"/>
        <v>86.5365</v>
      </c>
      <c r="N815" s="142">
        <v>79</v>
      </c>
      <c r="O815" s="116"/>
      <c r="P815" s="116" t="s">
        <v>39</v>
      </c>
      <c r="Q815" s="117"/>
      <c r="R815" s="118"/>
      <c r="S815" s="117"/>
      <c r="T815" s="116"/>
      <c r="V815" s="15"/>
      <c r="W815" s="29"/>
    </row>
    <row r="816" spans="1:22" s="114" customFormat="1" ht="15">
      <c r="A816" s="12" t="s">
        <v>169</v>
      </c>
      <c r="B816" s="65">
        <v>42076.538194444445</v>
      </c>
      <c r="C816" s="14">
        <v>56.64</v>
      </c>
      <c r="D816" s="15">
        <v>320</v>
      </c>
      <c r="E816" s="15">
        <f t="shared" si="136"/>
        <v>18135.8</v>
      </c>
      <c r="F816" s="13"/>
      <c r="G816" s="14">
        <v>61.3</v>
      </c>
      <c r="H816" s="15">
        <f t="shared" si="137"/>
        <v>19616</v>
      </c>
      <c r="I816" s="16">
        <f t="shared" si="138"/>
        <v>1480.2000000000007</v>
      </c>
      <c r="J816" s="19">
        <f t="shared" si="139"/>
        <v>0.08161757407999651</v>
      </c>
      <c r="K816" s="95" t="s">
        <v>170</v>
      </c>
      <c r="L816" s="119"/>
      <c r="M816" s="20">
        <f t="shared" si="140"/>
        <v>52.675200000000004</v>
      </c>
      <c r="N816" s="118">
        <v>71.25</v>
      </c>
      <c r="O816" s="121">
        <v>42132</v>
      </c>
      <c r="P816" s="116" t="s">
        <v>169</v>
      </c>
      <c r="Q816" s="117">
        <v>61.88</v>
      </c>
      <c r="R816" s="118">
        <f>Q816*0.855</f>
        <v>52.9074</v>
      </c>
      <c r="S816" s="117">
        <f>1.11*C816</f>
        <v>62.870400000000004</v>
      </c>
      <c r="T816" s="116"/>
      <c r="U816" s="117"/>
      <c r="V816" s="15"/>
    </row>
    <row r="817" spans="1:22" s="114" customFormat="1" ht="15">
      <c r="A817" s="12" t="s">
        <v>169</v>
      </c>
      <c r="B817" s="65">
        <v>42082.302777777775</v>
      </c>
      <c r="C817" s="14">
        <v>57.9</v>
      </c>
      <c r="D817" s="15">
        <v>190</v>
      </c>
      <c r="E817" s="15">
        <f t="shared" si="136"/>
        <v>11012</v>
      </c>
      <c r="F817" s="13"/>
      <c r="G817" s="14">
        <v>61.3</v>
      </c>
      <c r="H817" s="15">
        <f t="shared" si="137"/>
        <v>11647</v>
      </c>
      <c r="I817" s="16">
        <f t="shared" si="138"/>
        <v>635</v>
      </c>
      <c r="J817" s="19">
        <f t="shared" si="139"/>
        <v>0.05766436614602252</v>
      </c>
      <c r="K817" s="95" t="s">
        <v>217</v>
      </c>
      <c r="L817" s="119"/>
      <c r="M817" s="20">
        <f t="shared" si="140"/>
        <v>53.847</v>
      </c>
      <c r="N817" s="118">
        <v>71.25</v>
      </c>
      <c r="O817" s="116"/>
      <c r="P817" s="116" t="s">
        <v>169</v>
      </c>
      <c r="Q817" s="117"/>
      <c r="R817" s="118"/>
      <c r="S817" s="117"/>
      <c r="T817" s="116"/>
      <c r="V817" s="15"/>
    </row>
    <row r="818" spans="1:23" s="114" customFormat="1" ht="15">
      <c r="A818" s="12" t="s">
        <v>169</v>
      </c>
      <c r="B818" s="65">
        <v>42103.433333333334</v>
      </c>
      <c r="C818" s="14">
        <v>59.27</v>
      </c>
      <c r="D818" s="15">
        <v>125</v>
      </c>
      <c r="E818" s="15">
        <f t="shared" si="136"/>
        <v>7419.75</v>
      </c>
      <c r="F818" s="13"/>
      <c r="G818" s="14">
        <v>61.3</v>
      </c>
      <c r="H818" s="15">
        <f t="shared" si="137"/>
        <v>7662.5</v>
      </c>
      <c r="I818" s="16">
        <f t="shared" si="138"/>
        <v>242.75</v>
      </c>
      <c r="J818" s="19">
        <f t="shared" si="139"/>
        <v>0.03271673573907476</v>
      </c>
      <c r="K818" s="95" t="s">
        <v>216</v>
      </c>
      <c r="L818" s="119"/>
      <c r="M818" s="20">
        <f t="shared" si="140"/>
        <v>55.121100000000006</v>
      </c>
      <c r="N818" s="118">
        <v>71.25</v>
      </c>
      <c r="O818" s="116"/>
      <c r="P818" s="116" t="s">
        <v>169</v>
      </c>
      <c r="Q818" s="117"/>
      <c r="R818" s="118"/>
      <c r="S818" s="117"/>
      <c r="T818" s="116"/>
      <c r="V818" s="15"/>
      <c r="W818" s="29"/>
    </row>
    <row r="819" spans="1:22" s="114" customFormat="1" ht="15">
      <c r="A819" s="12" t="s">
        <v>208</v>
      </c>
      <c r="B819" s="65">
        <v>42090.308333333334</v>
      </c>
      <c r="C819" s="14">
        <v>214</v>
      </c>
      <c r="D819" s="15">
        <v>95</v>
      </c>
      <c r="E819" s="15">
        <f t="shared" si="136"/>
        <v>20341</v>
      </c>
      <c r="F819" s="13"/>
      <c r="G819" s="14">
        <v>222.09</v>
      </c>
      <c r="H819" s="15">
        <f t="shared" si="137"/>
        <v>21098.55</v>
      </c>
      <c r="I819" s="16">
        <f t="shared" si="138"/>
        <v>757.5499999999993</v>
      </c>
      <c r="J819" s="19">
        <f t="shared" si="139"/>
        <v>0.03724251511725084</v>
      </c>
      <c r="K819" s="95" t="s">
        <v>212</v>
      </c>
      <c r="L819" s="119"/>
      <c r="M819" s="20">
        <f t="shared" si="140"/>
        <v>199.02</v>
      </c>
      <c r="N819" s="118">
        <v>267.7</v>
      </c>
      <c r="O819" s="121">
        <v>42136</v>
      </c>
      <c r="P819" s="116" t="s">
        <v>208</v>
      </c>
      <c r="Q819" s="117">
        <v>230.7</v>
      </c>
      <c r="R819" s="118">
        <f>Q819*0.855</f>
        <v>197.24849999999998</v>
      </c>
      <c r="S819" s="117">
        <f>1.11*C819</f>
        <v>237.54000000000002</v>
      </c>
      <c r="T819" s="116"/>
      <c r="U819" s="117"/>
      <c r="V819" s="15"/>
    </row>
    <row r="820" spans="1:22" s="114" customFormat="1" ht="15">
      <c r="A820" s="12" t="s">
        <v>208</v>
      </c>
      <c r="B820" s="65">
        <v>42093.29305555556</v>
      </c>
      <c r="C820" s="14">
        <v>219.41</v>
      </c>
      <c r="D820" s="15">
        <v>55</v>
      </c>
      <c r="E820" s="15">
        <f t="shared" si="136"/>
        <v>12078.55</v>
      </c>
      <c r="F820" s="13"/>
      <c r="G820" s="14">
        <v>222.09</v>
      </c>
      <c r="H820" s="15">
        <f t="shared" si="137"/>
        <v>12214.95</v>
      </c>
      <c r="I820" s="16">
        <f t="shared" si="138"/>
        <v>136.40000000000146</v>
      </c>
      <c r="J820" s="19">
        <f t="shared" si="139"/>
        <v>0.01129274623195677</v>
      </c>
      <c r="K820" s="95" t="s">
        <v>211</v>
      </c>
      <c r="L820" s="119"/>
      <c r="M820" s="20">
        <f t="shared" si="140"/>
        <v>204.0513</v>
      </c>
      <c r="N820" s="118">
        <v>267.7</v>
      </c>
      <c r="O820" s="116"/>
      <c r="P820" s="116" t="s">
        <v>208</v>
      </c>
      <c r="Q820" s="117"/>
      <c r="R820" s="118"/>
      <c r="S820" s="117"/>
      <c r="T820" s="116"/>
      <c r="V820" s="15"/>
    </row>
    <row r="821" spans="1:23" s="114" customFormat="1" ht="15">
      <c r="A821" s="12" t="s">
        <v>208</v>
      </c>
      <c r="B821" s="65">
        <v>42117.27569444444</v>
      </c>
      <c r="C821" s="14">
        <v>226.35</v>
      </c>
      <c r="D821" s="15">
        <v>35</v>
      </c>
      <c r="E821" s="15">
        <f t="shared" si="136"/>
        <v>7933.25</v>
      </c>
      <c r="F821" s="13"/>
      <c r="G821" s="14">
        <v>222.09</v>
      </c>
      <c r="H821" s="15">
        <f t="shared" si="137"/>
        <v>7773.150000000001</v>
      </c>
      <c r="I821" s="16">
        <f t="shared" si="138"/>
        <v>-160.09999999999945</v>
      </c>
      <c r="J821" s="19">
        <f t="shared" si="139"/>
        <v>-0.02018088425298578</v>
      </c>
      <c r="K821" s="95" t="s">
        <v>236</v>
      </c>
      <c r="L821" s="119"/>
      <c r="M821" s="20">
        <f t="shared" si="140"/>
        <v>210.5055</v>
      </c>
      <c r="N821" s="118">
        <v>267.7</v>
      </c>
      <c r="O821" s="116"/>
      <c r="P821" s="116" t="s">
        <v>208</v>
      </c>
      <c r="Q821" s="117"/>
      <c r="R821" s="118"/>
      <c r="S821" s="117"/>
      <c r="T821" s="116"/>
      <c r="V821" s="15"/>
      <c r="W821" s="29"/>
    </row>
    <row r="822" spans="1:22" s="114" customFormat="1" ht="15">
      <c r="A822" s="12" t="s">
        <v>49</v>
      </c>
      <c r="B822" s="65">
        <v>42117.345138888886</v>
      </c>
      <c r="C822" s="14">
        <v>117.5</v>
      </c>
      <c r="D822" s="15">
        <v>215</v>
      </c>
      <c r="E822" s="15">
        <f t="shared" si="136"/>
        <v>25273.5</v>
      </c>
      <c r="F822" s="13"/>
      <c r="G822" s="14">
        <v>145.59</v>
      </c>
      <c r="H822" s="15">
        <f t="shared" si="137"/>
        <v>31301.850000000002</v>
      </c>
      <c r="I822" s="16">
        <f t="shared" si="138"/>
        <v>6028.350000000002</v>
      </c>
      <c r="J822" s="19">
        <f t="shared" si="139"/>
        <v>0.23852454151581706</v>
      </c>
      <c r="K822" s="95" t="s">
        <v>230</v>
      </c>
      <c r="L822" s="119">
        <v>128.51</v>
      </c>
      <c r="M822" s="41">
        <f t="shared" si="140"/>
        <v>109.275</v>
      </c>
      <c r="N822" s="118">
        <v>148.09</v>
      </c>
      <c r="O822" s="121">
        <v>42159</v>
      </c>
      <c r="P822" s="116" t="s">
        <v>49</v>
      </c>
      <c r="Q822" s="117">
        <v>150.3</v>
      </c>
      <c r="R822" s="118">
        <f>Q822*0.855</f>
        <v>128.50650000000002</v>
      </c>
      <c r="S822" s="117">
        <f>1.11*C822</f>
        <v>130.425</v>
      </c>
      <c r="T822" s="116"/>
      <c r="U822" s="117"/>
      <c r="V822" s="15"/>
    </row>
    <row r="823" spans="1:22" s="114" customFormat="1" ht="15">
      <c r="A823" s="12" t="s">
        <v>49</v>
      </c>
      <c r="B823" s="65">
        <v>42118.274305555555</v>
      </c>
      <c r="C823" s="14">
        <v>119.93</v>
      </c>
      <c r="D823" s="15">
        <v>125</v>
      </c>
      <c r="E823" s="15">
        <f t="shared" si="136"/>
        <v>15002.25</v>
      </c>
      <c r="F823" s="13"/>
      <c r="G823" s="14">
        <v>145.59</v>
      </c>
      <c r="H823" s="15">
        <f t="shared" si="137"/>
        <v>18198.75</v>
      </c>
      <c r="I823" s="16">
        <f t="shared" si="138"/>
        <v>3196.5</v>
      </c>
      <c r="J823" s="19">
        <f t="shared" si="139"/>
        <v>0.21306803979403088</v>
      </c>
      <c r="K823" s="95" t="s">
        <v>231</v>
      </c>
      <c r="L823" s="119">
        <v>128.51</v>
      </c>
      <c r="M823" s="41">
        <f t="shared" si="140"/>
        <v>111.53490000000001</v>
      </c>
      <c r="N823" s="118">
        <v>148.09</v>
      </c>
      <c r="O823" s="116"/>
      <c r="P823" s="116" t="s">
        <v>49</v>
      </c>
      <c r="Q823" s="117"/>
      <c r="R823" s="118"/>
      <c r="S823" s="117"/>
      <c r="T823" s="116"/>
      <c r="V823" s="15"/>
    </row>
    <row r="824" spans="1:22" s="114" customFormat="1" ht="15">
      <c r="A824" s="12" t="s">
        <v>49</v>
      </c>
      <c r="B824" s="65">
        <v>42118.285416666666</v>
      </c>
      <c r="C824" s="14">
        <v>122.62</v>
      </c>
      <c r="D824" s="15">
        <v>80</v>
      </c>
      <c r="E824" s="15">
        <f t="shared" si="136"/>
        <v>9820.6</v>
      </c>
      <c r="F824" s="13"/>
      <c r="G824" s="14">
        <v>145.59</v>
      </c>
      <c r="H824" s="15">
        <f t="shared" si="137"/>
        <v>11647.2</v>
      </c>
      <c r="I824" s="16">
        <f t="shared" si="138"/>
        <v>1826.6000000000004</v>
      </c>
      <c r="J824" s="19">
        <f t="shared" si="139"/>
        <v>0.18599678227399552</v>
      </c>
      <c r="K824" s="95" t="s">
        <v>232</v>
      </c>
      <c r="L824" s="119">
        <v>128.51</v>
      </c>
      <c r="M824" s="41">
        <f t="shared" si="140"/>
        <v>114.0366</v>
      </c>
      <c r="N824" s="118">
        <v>148.09</v>
      </c>
      <c r="O824" s="116"/>
      <c r="P824" s="116" t="s">
        <v>49</v>
      </c>
      <c r="Q824" s="117"/>
      <c r="R824" s="118"/>
      <c r="S824" s="117"/>
      <c r="T824" s="116"/>
      <c r="V824" s="15"/>
    </row>
    <row r="825" spans="1:23" s="114" customFormat="1" ht="15">
      <c r="A825" s="12" t="s">
        <v>49</v>
      </c>
      <c r="B825" s="65">
        <v>42138.27222222222</v>
      </c>
      <c r="C825" s="14">
        <v>138.86</v>
      </c>
      <c r="D825" s="15">
        <v>85</v>
      </c>
      <c r="E825" s="15">
        <f t="shared" si="136"/>
        <v>11814.1</v>
      </c>
      <c r="F825" s="13"/>
      <c r="G825" s="14">
        <v>145.59</v>
      </c>
      <c r="H825" s="15">
        <f t="shared" si="137"/>
        <v>12375.15</v>
      </c>
      <c r="I825" s="16">
        <f t="shared" si="138"/>
        <v>561.0499999999993</v>
      </c>
      <c r="J825" s="19">
        <f t="shared" si="139"/>
        <v>0.04748986380680706</v>
      </c>
      <c r="K825" s="95" t="s">
        <v>242</v>
      </c>
      <c r="L825" s="119"/>
      <c r="M825" s="20">
        <f t="shared" si="140"/>
        <v>129.1398</v>
      </c>
      <c r="N825" s="118">
        <v>148.09</v>
      </c>
      <c r="O825" s="116"/>
      <c r="P825" s="116" t="s">
        <v>49</v>
      </c>
      <c r="Q825" s="117"/>
      <c r="R825" s="118"/>
      <c r="S825" s="117"/>
      <c r="T825" s="116"/>
      <c r="V825" s="15"/>
      <c r="W825" s="29"/>
    </row>
    <row r="826" spans="1:23" s="114" customFormat="1" ht="15">
      <c r="A826" s="12" t="s">
        <v>66</v>
      </c>
      <c r="B826" s="65">
        <v>42156.31875</v>
      </c>
      <c r="C826" s="14">
        <v>41</v>
      </c>
      <c r="D826" s="15">
        <v>1900</v>
      </c>
      <c r="E826" s="15">
        <f t="shared" si="136"/>
        <v>77911</v>
      </c>
      <c r="F826" s="13"/>
      <c r="G826" s="14">
        <v>42.69</v>
      </c>
      <c r="H826" s="15">
        <f t="shared" si="137"/>
        <v>81111</v>
      </c>
      <c r="I826" s="16">
        <f t="shared" si="138"/>
        <v>3200</v>
      </c>
      <c r="J826" s="19">
        <f t="shared" si="139"/>
        <v>0.04107250580790903</v>
      </c>
      <c r="K826" s="95" t="s">
        <v>256</v>
      </c>
      <c r="L826" s="119"/>
      <c r="M826" s="20">
        <f t="shared" si="140"/>
        <v>38.13</v>
      </c>
      <c r="N826" s="118">
        <v>52.13</v>
      </c>
      <c r="O826" s="121">
        <f>WORKDAY(B827,40,'Weekly Summary'!P$2:P$10)</f>
        <v>42215</v>
      </c>
      <c r="P826" s="116" t="s">
        <v>66</v>
      </c>
      <c r="Q826" s="117"/>
      <c r="R826" s="118"/>
      <c r="S826" s="117">
        <f>1.11*C826</f>
        <v>45.510000000000005</v>
      </c>
      <c r="T826" s="116"/>
      <c r="V826" s="15"/>
      <c r="W826" s="29"/>
    </row>
    <row r="827" spans="1:23" s="114" customFormat="1" ht="15">
      <c r="A827" s="12" t="s">
        <v>66</v>
      </c>
      <c r="B827" s="65">
        <v>42158.308333333334</v>
      </c>
      <c r="C827" s="14">
        <v>42.1</v>
      </c>
      <c r="D827" s="15">
        <v>1100</v>
      </c>
      <c r="E827" s="15">
        <f t="shared" si="136"/>
        <v>46321</v>
      </c>
      <c r="F827" s="13"/>
      <c r="G827" s="14">
        <v>42.69</v>
      </c>
      <c r="H827" s="15">
        <f t="shared" si="137"/>
        <v>46959</v>
      </c>
      <c r="I827" s="16">
        <f t="shared" si="138"/>
        <v>638</v>
      </c>
      <c r="J827" s="19">
        <f t="shared" si="139"/>
        <v>0.013773450486820233</v>
      </c>
      <c r="K827" s="95" t="s">
        <v>257</v>
      </c>
      <c r="L827" s="119"/>
      <c r="M827" s="20">
        <f t="shared" si="140"/>
        <v>39.153000000000006</v>
      </c>
      <c r="N827" s="118">
        <v>52.13</v>
      </c>
      <c r="O827" s="116"/>
      <c r="P827" s="116" t="s">
        <v>66</v>
      </c>
      <c r="Q827" s="117"/>
      <c r="R827" s="118"/>
      <c r="S827" s="117"/>
      <c r="T827" s="116"/>
      <c r="V827" s="15"/>
      <c r="W827" s="29"/>
    </row>
    <row r="828" spans="1:20" s="114" customFormat="1" ht="15">
      <c r="A828" s="12"/>
      <c r="B828" s="13"/>
      <c r="C828" s="14"/>
      <c r="D828" s="15"/>
      <c r="E828" s="15"/>
      <c r="F828" s="13"/>
      <c r="G828" s="14"/>
      <c r="H828" s="15"/>
      <c r="I828" s="16"/>
      <c r="J828" s="19"/>
      <c r="K828" s="95"/>
      <c r="L828" s="119"/>
      <c r="M828" s="32"/>
      <c r="N828" s="118"/>
      <c r="Q828" s="117"/>
      <c r="R828" s="117"/>
      <c r="S828" s="117"/>
      <c r="T828" s="116"/>
    </row>
    <row r="829" spans="1:20" s="114" customFormat="1" ht="15">
      <c r="A829" s="21" t="s">
        <v>14</v>
      </c>
      <c r="B829" s="22"/>
      <c r="C829" s="23"/>
      <c r="D829" s="24"/>
      <c r="E829" s="24">
        <f>SUM(E791:E828)</f>
        <v>502194.3499999999</v>
      </c>
      <c r="F829" s="22"/>
      <c r="G829" s="23"/>
      <c r="H829" s="24">
        <f>SUM(H791:H828)</f>
        <v>609452.75</v>
      </c>
      <c r="I829" s="25">
        <f>SUM(I791:I828)</f>
        <v>107258.40000000001</v>
      </c>
      <c r="J829" s="26">
        <f>I829/E829</f>
        <v>0.21357946380718945</v>
      </c>
      <c r="K829" s="27" t="s">
        <v>15</v>
      </c>
      <c r="L829" s="28">
        <f>100000+I831</f>
        <v>292764.46</v>
      </c>
      <c r="M829" s="81"/>
      <c r="N829" s="89"/>
      <c r="Q829" s="117"/>
      <c r="R829" s="117"/>
      <c r="S829" s="117"/>
      <c r="T829" s="116"/>
    </row>
    <row r="830" spans="1:20" s="114" customFormat="1" ht="15">
      <c r="A830" s="12" t="s">
        <v>67</v>
      </c>
      <c r="B830" s="22"/>
      <c r="C830" s="25">
        <f>I831-I786</f>
        <v>43966.50000000003</v>
      </c>
      <c r="D830" s="26">
        <f>C830/H784</f>
        <v>0.07449525531481754</v>
      </c>
      <c r="E830" s="24"/>
      <c r="F830" s="22" t="s">
        <v>16</v>
      </c>
      <c r="G830" s="117"/>
      <c r="H830" s="29" t="str">
        <f>IF(ABS(H829-E829-I829)&lt;1,"","ERROR")</f>
        <v/>
      </c>
      <c r="I830" s="30">
        <v>85506.06</v>
      </c>
      <c r="J830" s="26"/>
      <c r="K830" s="111" t="s">
        <v>17</v>
      </c>
      <c r="L830" s="28">
        <f>(2*(100000+I831))-E829</f>
        <v>83334.57000000012</v>
      </c>
      <c r="M830" s="31"/>
      <c r="Q830" s="117"/>
      <c r="R830" s="117"/>
      <c r="S830" s="117"/>
      <c r="T830" s="116"/>
    </row>
    <row r="831" spans="1:20" s="114" customFormat="1" ht="15">
      <c r="A831" s="12" t="s">
        <v>54</v>
      </c>
      <c r="B831" s="22"/>
      <c r="C831" s="25">
        <f>L829-L784</f>
        <v>43966.50000000003</v>
      </c>
      <c r="D831" s="26">
        <f>C831/L784</f>
        <v>0.17671567725072998</v>
      </c>
      <c r="E831" s="24"/>
      <c r="F831" s="22" t="s">
        <v>18</v>
      </c>
      <c r="G831" s="117"/>
      <c r="H831" s="29"/>
      <c r="I831" s="30">
        <f>I829+I830</f>
        <v>192764.46000000002</v>
      </c>
      <c r="J831" s="26">
        <f>I831/100000</f>
        <v>1.9276446000000003</v>
      </c>
      <c r="K831" s="111" t="s">
        <v>19</v>
      </c>
      <c r="L831" s="26">
        <f>E829/(2*(100000+I831))</f>
        <v>0.857676423565893</v>
      </c>
      <c r="M831" s="31"/>
      <c r="Q831" s="117"/>
      <c r="R831" s="117"/>
      <c r="S831" s="117"/>
      <c r="T831" s="116"/>
    </row>
    <row r="832" spans="1:20" s="114" customFormat="1" ht="15">
      <c r="A832" s="12"/>
      <c r="B832" s="22"/>
      <c r="C832" s="25"/>
      <c r="D832" s="26"/>
      <c r="E832" s="24"/>
      <c r="F832" s="22"/>
      <c r="G832" s="117"/>
      <c r="H832" s="29"/>
      <c r="I832" s="30"/>
      <c r="J832" s="26"/>
      <c r="K832" s="111"/>
      <c r="L832" s="26"/>
      <c r="M832" s="31"/>
      <c r="Q832" s="117"/>
      <c r="R832" s="117"/>
      <c r="S832" s="117"/>
      <c r="T832" s="116"/>
    </row>
    <row r="833" spans="1:20" s="114" customFormat="1" ht="15">
      <c r="A833" s="12"/>
      <c r="B833" s="22"/>
      <c r="C833" s="25"/>
      <c r="D833" s="26"/>
      <c r="E833" s="24"/>
      <c r="F833" s="22"/>
      <c r="G833" s="117"/>
      <c r="H833" s="29"/>
      <c r="I833" s="30"/>
      <c r="J833" s="26"/>
      <c r="K833" s="111"/>
      <c r="L833" s="26"/>
      <c r="M833" s="31"/>
      <c r="Q833" s="117"/>
      <c r="R833" s="117"/>
      <c r="S833" s="117"/>
      <c r="T833" s="116"/>
    </row>
    <row r="834" spans="1:20" s="114" customFormat="1" ht="30.75" customHeight="1">
      <c r="A834" s="108" t="s">
        <v>56</v>
      </c>
      <c r="B834" s="384" t="s">
        <v>259</v>
      </c>
      <c r="C834" s="384"/>
      <c r="D834" s="384"/>
      <c r="E834" s="384"/>
      <c r="F834" s="384"/>
      <c r="G834" s="384"/>
      <c r="H834" s="384"/>
      <c r="I834" s="384"/>
      <c r="J834" s="384"/>
      <c r="K834" s="384"/>
      <c r="L834" s="384"/>
      <c r="M834" s="384"/>
      <c r="N834" s="384"/>
      <c r="O834" s="92"/>
      <c r="P834" s="92"/>
      <c r="Q834" s="104"/>
      <c r="R834" s="104"/>
      <c r="S834" s="107"/>
      <c r="T834" s="109"/>
    </row>
    <row r="835" spans="1:22" s="114" customFormat="1" ht="15">
      <c r="A835" s="2" t="s">
        <v>0</v>
      </c>
      <c r="B835" s="3" t="s">
        <v>1</v>
      </c>
      <c r="C835" s="4" t="s">
        <v>2</v>
      </c>
      <c r="D835" s="5" t="s">
        <v>3</v>
      </c>
      <c r="E835" s="6" t="s">
        <v>4</v>
      </c>
      <c r="F835" s="3" t="s">
        <v>5</v>
      </c>
      <c r="G835" s="7" t="s">
        <v>2</v>
      </c>
      <c r="H835" s="6" t="s">
        <v>6</v>
      </c>
      <c r="I835" s="6" t="s">
        <v>7</v>
      </c>
      <c r="J835" s="8" t="s">
        <v>8</v>
      </c>
      <c r="K835" s="9" t="s">
        <v>9</v>
      </c>
      <c r="L835" s="10" t="s">
        <v>10</v>
      </c>
      <c r="M835" s="11" t="s">
        <v>11</v>
      </c>
      <c r="N835" s="103" t="s">
        <v>53</v>
      </c>
      <c r="O835" s="105" t="s">
        <v>110</v>
      </c>
      <c r="P835" s="106" t="s">
        <v>0</v>
      </c>
      <c r="Q835" s="117" t="s">
        <v>13</v>
      </c>
      <c r="R835" s="117" t="s">
        <v>70</v>
      </c>
      <c r="S835" s="111" t="s">
        <v>103</v>
      </c>
      <c r="T835" s="116" t="s">
        <v>107</v>
      </c>
      <c r="V835" s="9"/>
    </row>
    <row r="836" spans="1:22" s="114" customFormat="1" ht="15">
      <c r="A836" s="12" t="s">
        <v>80</v>
      </c>
      <c r="B836" s="65">
        <v>42011.30486111111</v>
      </c>
      <c r="C836" s="14">
        <v>58.02</v>
      </c>
      <c r="D836" s="15">
        <v>250</v>
      </c>
      <c r="E836" s="15">
        <f aca="true" t="shared" si="141" ref="E836:E872">C836*D836+11</f>
        <v>14516</v>
      </c>
      <c r="F836" s="13"/>
      <c r="G836" s="14">
        <v>110.71</v>
      </c>
      <c r="H836" s="15">
        <f aca="true" t="shared" si="142" ref="H836:H872">G836*D836</f>
        <v>27677.5</v>
      </c>
      <c r="I836" s="16">
        <f aca="true" t="shared" si="143" ref="I836:I872">H836-E836</f>
        <v>13161.5</v>
      </c>
      <c r="J836" s="19">
        <f aca="true" t="shared" si="144" ref="J836:J872">I836/E836</f>
        <v>0.9066891705704051</v>
      </c>
      <c r="K836" s="141" t="s">
        <v>239</v>
      </c>
      <c r="L836" s="140" t="s">
        <v>51</v>
      </c>
      <c r="M836" s="41">
        <f aca="true" t="shared" si="145" ref="M836:M872">C836*0.93</f>
        <v>53.958600000000004</v>
      </c>
      <c r="N836" s="118">
        <v>76.6</v>
      </c>
      <c r="O836" s="121">
        <v>42090</v>
      </c>
      <c r="P836" s="116" t="s">
        <v>80</v>
      </c>
      <c r="Q836" s="117">
        <v>111.8</v>
      </c>
      <c r="R836" s="118">
        <f>Q836*0.855</f>
        <v>95.589</v>
      </c>
      <c r="S836" s="117">
        <f>1.11*C836</f>
        <v>64.40220000000001</v>
      </c>
      <c r="T836" s="116"/>
      <c r="U836" s="117"/>
      <c r="V836" s="15"/>
    </row>
    <row r="837" spans="1:22" s="114" customFormat="1" ht="15">
      <c r="A837" s="12" t="s">
        <v>80</v>
      </c>
      <c r="B837" s="65">
        <v>42011.40694444445</v>
      </c>
      <c r="C837" s="14">
        <v>59.16</v>
      </c>
      <c r="D837" s="15">
        <v>150</v>
      </c>
      <c r="E837" s="15">
        <f t="shared" si="141"/>
        <v>8885</v>
      </c>
      <c r="F837" s="13"/>
      <c r="G837" s="14">
        <v>110.71</v>
      </c>
      <c r="H837" s="15">
        <f t="shared" si="142"/>
        <v>16606.5</v>
      </c>
      <c r="I837" s="16">
        <f t="shared" si="143"/>
        <v>7721.5</v>
      </c>
      <c r="J837" s="122">
        <f t="shared" si="144"/>
        <v>0.8690489589195273</v>
      </c>
      <c r="K837" s="95" t="s">
        <v>82</v>
      </c>
      <c r="L837" s="140" t="s">
        <v>51</v>
      </c>
      <c r="M837" s="41">
        <f t="shared" si="145"/>
        <v>55.0188</v>
      </c>
      <c r="N837" s="118">
        <v>77.93</v>
      </c>
      <c r="O837" s="116"/>
      <c r="P837" s="116" t="s">
        <v>80</v>
      </c>
      <c r="Q837" s="117"/>
      <c r="R837" s="118"/>
      <c r="S837" s="117"/>
      <c r="T837" s="116"/>
      <c r="V837" s="15"/>
    </row>
    <row r="838" spans="1:22" s="114" customFormat="1" ht="15">
      <c r="A838" s="12" t="s">
        <v>80</v>
      </c>
      <c r="B838" s="65">
        <v>42012.29305555556</v>
      </c>
      <c r="C838" s="14">
        <v>60.3</v>
      </c>
      <c r="D838" s="15">
        <v>100</v>
      </c>
      <c r="E838" s="15">
        <f t="shared" si="141"/>
        <v>6041</v>
      </c>
      <c r="F838" s="13"/>
      <c r="G838" s="14">
        <v>110.71</v>
      </c>
      <c r="H838" s="15">
        <f t="shared" si="142"/>
        <v>11071</v>
      </c>
      <c r="I838" s="16">
        <f t="shared" si="143"/>
        <v>5030</v>
      </c>
      <c r="J838" s="19">
        <f t="shared" si="144"/>
        <v>0.8326436020526403</v>
      </c>
      <c r="K838" s="95" t="s">
        <v>83</v>
      </c>
      <c r="L838" s="140" t="s">
        <v>51</v>
      </c>
      <c r="M838" s="41">
        <f t="shared" si="145"/>
        <v>56.079</v>
      </c>
      <c r="N838" s="118">
        <v>77.93</v>
      </c>
      <c r="O838" s="116"/>
      <c r="P838" s="116" t="s">
        <v>80</v>
      </c>
      <c r="Q838" s="117"/>
      <c r="R838" s="118"/>
      <c r="S838" s="117"/>
      <c r="T838" s="116"/>
      <c r="V838" s="15"/>
    </row>
    <row r="839" spans="1:22" s="114" customFormat="1" ht="15">
      <c r="A839" s="12" t="s">
        <v>80</v>
      </c>
      <c r="B839" s="65">
        <v>42047.271527777775</v>
      </c>
      <c r="C839" s="14">
        <v>64.65</v>
      </c>
      <c r="D839" s="15">
        <v>100</v>
      </c>
      <c r="E839" s="15">
        <f t="shared" si="141"/>
        <v>6476.000000000001</v>
      </c>
      <c r="F839" s="13"/>
      <c r="G839" s="14">
        <v>110.71</v>
      </c>
      <c r="H839" s="15">
        <f t="shared" si="142"/>
        <v>11071</v>
      </c>
      <c r="I839" s="16">
        <f t="shared" si="143"/>
        <v>4594.999999999999</v>
      </c>
      <c r="J839" s="19">
        <f t="shared" si="144"/>
        <v>0.7095429277331684</v>
      </c>
      <c r="K839" s="95" t="s">
        <v>132</v>
      </c>
      <c r="L839" s="140" t="s">
        <v>51</v>
      </c>
      <c r="M839" s="41">
        <f t="shared" si="145"/>
        <v>60.12450000000001</v>
      </c>
      <c r="N839" s="118">
        <v>77.93</v>
      </c>
      <c r="O839" s="116"/>
      <c r="P839" s="116" t="s">
        <v>80</v>
      </c>
      <c r="Q839" s="117"/>
      <c r="R839" s="118"/>
      <c r="S839" s="117"/>
      <c r="T839" s="116"/>
      <c r="V839" s="15"/>
    </row>
    <row r="840" spans="1:22" s="114" customFormat="1" ht="15">
      <c r="A840" s="12" t="s">
        <v>80</v>
      </c>
      <c r="B840" s="65">
        <v>42081.34097222222</v>
      </c>
      <c r="C840" s="14">
        <v>70</v>
      </c>
      <c r="D840" s="15">
        <v>120</v>
      </c>
      <c r="E840" s="15">
        <f t="shared" si="141"/>
        <v>8411</v>
      </c>
      <c r="F840" s="13"/>
      <c r="G840" s="14">
        <v>110.71</v>
      </c>
      <c r="H840" s="15">
        <f t="shared" si="142"/>
        <v>13285.199999999999</v>
      </c>
      <c r="I840" s="16">
        <f t="shared" si="143"/>
        <v>4874.199999999999</v>
      </c>
      <c r="J840" s="19">
        <f t="shared" si="144"/>
        <v>0.5795030317441444</v>
      </c>
      <c r="K840" s="95" t="s">
        <v>181</v>
      </c>
      <c r="L840" s="140" t="s">
        <v>51</v>
      </c>
      <c r="M840" s="41">
        <f t="shared" si="145"/>
        <v>65.10000000000001</v>
      </c>
      <c r="N840" s="118">
        <v>77.93</v>
      </c>
      <c r="O840" s="116"/>
      <c r="P840" s="116" t="s">
        <v>80</v>
      </c>
      <c r="Q840" s="117"/>
      <c r="R840" s="118"/>
      <c r="S840" s="117"/>
      <c r="T840" s="116"/>
      <c r="V840" s="15"/>
    </row>
    <row r="841" spans="1:22" s="114" customFormat="1" ht="15">
      <c r="A841" s="12" t="s">
        <v>80</v>
      </c>
      <c r="B841" s="65">
        <v>42117.55694444444</v>
      </c>
      <c r="C841" s="14">
        <v>77.75</v>
      </c>
      <c r="D841" s="15">
        <v>150</v>
      </c>
      <c r="E841" s="15">
        <f t="shared" si="141"/>
        <v>11673.5</v>
      </c>
      <c r="F841" s="13"/>
      <c r="G841" s="14">
        <v>110.71</v>
      </c>
      <c r="H841" s="15">
        <f t="shared" si="142"/>
        <v>16606.5</v>
      </c>
      <c r="I841" s="16">
        <f t="shared" si="143"/>
        <v>4933</v>
      </c>
      <c r="J841" s="19">
        <f t="shared" si="144"/>
        <v>0.4225810596650533</v>
      </c>
      <c r="K841" s="95" t="s">
        <v>233</v>
      </c>
      <c r="L841" s="140" t="s">
        <v>51</v>
      </c>
      <c r="M841" s="41">
        <f t="shared" si="145"/>
        <v>72.3075</v>
      </c>
      <c r="N841" s="118">
        <v>77.93</v>
      </c>
      <c r="O841" s="116"/>
      <c r="P841" s="116" t="s">
        <v>80</v>
      </c>
      <c r="Q841" s="117"/>
      <c r="R841" s="118"/>
      <c r="S841" s="117"/>
      <c r="T841" s="116"/>
      <c r="V841" s="15"/>
    </row>
    <row r="842" spans="1:23" s="114" customFormat="1" ht="15">
      <c r="A842" s="12" t="s">
        <v>80</v>
      </c>
      <c r="B842" s="65">
        <v>42128.525</v>
      </c>
      <c r="C842" s="14">
        <v>93.09</v>
      </c>
      <c r="D842" s="15">
        <v>180</v>
      </c>
      <c r="E842" s="15">
        <f t="shared" si="141"/>
        <v>16767.2</v>
      </c>
      <c r="F842" s="13"/>
      <c r="G842" s="14">
        <v>110.71</v>
      </c>
      <c r="H842" s="15">
        <f t="shared" si="142"/>
        <v>19927.8</v>
      </c>
      <c r="I842" s="16">
        <f t="shared" si="143"/>
        <v>3160.5999999999985</v>
      </c>
      <c r="J842" s="19">
        <f t="shared" si="144"/>
        <v>0.1884989741876997</v>
      </c>
      <c r="K842" s="95" t="s">
        <v>244</v>
      </c>
      <c r="L842" s="140" t="s">
        <v>51</v>
      </c>
      <c r="M842" s="41">
        <f t="shared" si="145"/>
        <v>86.5737</v>
      </c>
      <c r="N842" s="118">
        <v>77.93</v>
      </c>
      <c r="O842" s="116"/>
      <c r="P842" s="116" t="s">
        <v>80</v>
      </c>
      <c r="Q842" s="117"/>
      <c r="R842" s="118"/>
      <c r="S842" s="117"/>
      <c r="T842" s="116"/>
      <c r="V842" s="15"/>
      <c r="W842" s="29"/>
    </row>
    <row r="843" spans="1:22" s="114" customFormat="1" ht="15">
      <c r="A843" s="12" t="s">
        <v>61</v>
      </c>
      <c r="B843" s="65">
        <v>42040.27847222222</v>
      </c>
      <c r="C843" s="14">
        <v>132.85</v>
      </c>
      <c r="D843" s="15">
        <v>110</v>
      </c>
      <c r="E843" s="15">
        <f t="shared" si="141"/>
        <v>14624.5</v>
      </c>
      <c r="F843" s="65"/>
      <c r="G843" s="14">
        <v>155.32</v>
      </c>
      <c r="H843" s="15">
        <f t="shared" si="142"/>
        <v>17085.2</v>
      </c>
      <c r="I843" s="16">
        <f t="shared" si="143"/>
        <v>2460.7000000000007</v>
      </c>
      <c r="J843" s="19">
        <f t="shared" si="144"/>
        <v>0.16825874388868</v>
      </c>
      <c r="K843" s="95" t="s">
        <v>134</v>
      </c>
      <c r="L843" s="119">
        <v>136.67</v>
      </c>
      <c r="M843" s="41">
        <f t="shared" si="145"/>
        <v>123.5505</v>
      </c>
      <c r="N843" s="118">
        <v>168.13</v>
      </c>
      <c r="O843" s="121">
        <v>42086</v>
      </c>
      <c r="P843" s="116" t="s">
        <v>61</v>
      </c>
      <c r="Q843" s="117">
        <v>159.85</v>
      </c>
      <c r="R843" s="118">
        <f>Q843*0.855</f>
        <v>136.67175</v>
      </c>
      <c r="S843" s="117">
        <f>1.11*C843</f>
        <v>147.4635</v>
      </c>
      <c r="T843" s="116"/>
      <c r="U843" s="117"/>
      <c r="V843" s="15"/>
    </row>
    <row r="844" spans="1:22" s="114" customFormat="1" ht="15">
      <c r="A844" s="12" t="s">
        <v>61</v>
      </c>
      <c r="B844" s="65">
        <v>42045.27291666667</v>
      </c>
      <c r="C844" s="14">
        <v>135.9</v>
      </c>
      <c r="D844" s="15">
        <v>65</v>
      </c>
      <c r="E844" s="15">
        <f t="shared" si="141"/>
        <v>8844.5</v>
      </c>
      <c r="F844" s="13"/>
      <c r="G844" s="14">
        <v>155.32</v>
      </c>
      <c r="H844" s="15">
        <f t="shared" si="142"/>
        <v>10095.8</v>
      </c>
      <c r="I844" s="16">
        <f t="shared" si="143"/>
        <v>1251.2999999999993</v>
      </c>
      <c r="J844" s="19">
        <f t="shared" si="144"/>
        <v>0.14147775453671765</v>
      </c>
      <c r="K844" s="95" t="s">
        <v>141</v>
      </c>
      <c r="L844" s="119">
        <v>136.67</v>
      </c>
      <c r="M844" s="41">
        <f t="shared" si="145"/>
        <v>126.38700000000001</v>
      </c>
      <c r="N844" s="118">
        <v>168.13</v>
      </c>
      <c r="O844" s="116"/>
      <c r="P844" s="116" t="s">
        <v>61</v>
      </c>
      <c r="Q844" s="117"/>
      <c r="R844" s="118"/>
      <c r="S844" s="117"/>
      <c r="T844" s="116"/>
      <c r="V844" s="15"/>
    </row>
    <row r="845" spans="1:22" s="114" customFormat="1" ht="15">
      <c r="A845" s="12" t="s">
        <v>61</v>
      </c>
      <c r="B845" s="65">
        <v>42054.277083333334</v>
      </c>
      <c r="C845" s="14">
        <v>139.17</v>
      </c>
      <c r="D845" s="15">
        <v>40</v>
      </c>
      <c r="E845" s="15">
        <f t="shared" si="141"/>
        <v>5577.799999999999</v>
      </c>
      <c r="F845" s="13"/>
      <c r="G845" s="14">
        <v>155.32</v>
      </c>
      <c r="H845" s="15">
        <f t="shared" si="142"/>
        <v>6212.799999999999</v>
      </c>
      <c r="I845" s="16">
        <f t="shared" si="143"/>
        <v>635</v>
      </c>
      <c r="J845" s="19">
        <f t="shared" si="144"/>
        <v>0.11384416795152212</v>
      </c>
      <c r="K845" s="95" t="s">
        <v>140</v>
      </c>
      <c r="L845" s="119">
        <v>136.67</v>
      </c>
      <c r="M845" s="41">
        <f t="shared" si="145"/>
        <v>129.4281</v>
      </c>
      <c r="N845" s="118">
        <v>168.13</v>
      </c>
      <c r="O845" s="116"/>
      <c r="P845" s="116" t="s">
        <v>61</v>
      </c>
      <c r="Q845" s="117"/>
      <c r="R845" s="118"/>
      <c r="S845" s="117"/>
      <c r="T845" s="116"/>
      <c r="V845" s="15"/>
    </row>
    <row r="846" spans="1:22" s="114" customFormat="1" ht="15">
      <c r="A846" s="12" t="s">
        <v>61</v>
      </c>
      <c r="B846" s="65">
        <v>42075.56458333333</v>
      </c>
      <c r="C846" s="14">
        <v>154</v>
      </c>
      <c r="D846" s="15">
        <v>40</v>
      </c>
      <c r="E846" s="15">
        <f t="shared" si="141"/>
        <v>6171</v>
      </c>
      <c r="F846" s="13"/>
      <c r="G846" s="14">
        <v>155.32</v>
      </c>
      <c r="H846" s="15">
        <f t="shared" si="142"/>
        <v>6212.799999999999</v>
      </c>
      <c r="I846" s="16">
        <f t="shared" si="143"/>
        <v>41.79999999999927</v>
      </c>
      <c r="J846" s="19">
        <f t="shared" si="144"/>
        <v>0.006773618538324303</v>
      </c>
      <c r="K846" s="95" t="s">
        <v>160</v>
      </c>
      <c r="L846" s="119"/>
      <c r="M846" s="20">
        <f t="shared" si="145"/>
        <v>143.22</v>
      </c>
      <c r="N846" s="118">
        <v>168.13</v>
      </c>
      <c r="O846" s="116"/>
      <c r="P846" s="116" t="s">
        <v>61</v>
      </c>
      <c r="Q846" s="117"/>
      <c r="R846" s="118"/>
      <c r="S846" s="117"/>
      <c r="T846" s="116"/>
      <c r="V846" s="15"/>
    </row>
    <row r="847" spans="1:23" s="114" customFormat="1" ht="15">
      <c r="A847" s="12" t="s">
        <v>61</v>
      </c>
      <c r="B847" s="65">
        <v>42109.27222222222</v>
      </c>
      <c r="C847" s="14">
        <v>156.13</v>
      </c>
      <c r="D847" s="15">
        <v>50</v>
      </c>
      <c r="E847" s="15">
        <f t="shared" si="141"/>
        <v>7817.5</v>
      </c>
      <c r="F847" s="13"/>
      <c r="G847" s="14">
        <v>155.32</v>
      </c>
      <c r="H847" s="15">
        <f t="shared" si="142"/>
        <v>7766</v>
      </c>
      <c r="I847" s="16">
        <f t="shared" si="143"/>
        <v>-51.5</v>
      </c>
      <c r="J847" s="19">
        <f t="shared" si="144"/>
        <v>-0.006587783818356252</v>
      </c>
      <c r="K847" s="95" t="s">
        <v>221</v>
      </c>
      <c r="L847" s="119"/>
      <c r="M847" s="20">
        <f t="shared" si="145"/>
        <v>145.2009</v>
      </c>
      <c r="N847" s="118">
        <v>168.13</v>
      </c>
      <c r="O847" s="116"/>
      <c r="P847" s="116" t="s">
        <v>61</v>
      </c>
      <c r="Q847" s="117"/>
      <c r="R847" s="118"/>
      <c r="S847" s="117"/>
      <c r="T847" s="116"/>
      <c r="V847" s="15"/>
      <c r="W847" s="29"/>
    </row>
    <row r="848" spans="1:22" s="114" customFormat="1" ht="15">
      <c r="A848" s="12" t="s">
        <v>52</v>
      </c>
      <c r="B848" s="65">
        <v>42046.27361111111</v>
      </c>
      <c r="C848" s="14">
        <v>129.75</v>
      </c>
      <c r="D848" s="15">
        <v>80</v>
      </c>
      <c r="E848" s="15">
        <f t="shared" si="141"/>
        <v>10391</v>
      </c>
      <c r="F848" s="65"/>
      <c r="G848" s="14">
        <v>175.85</v>
      </c>
      <c r="H848" s="15">
        <f t="shared" si="142"/>
        <v>14068</v>
      </c>
      <c r="I848" s="16">
        <f t="shared" si="143"/>
        <v>3677</v>
      </c>
      <c r="J848" s="19">
        <f t="shared" si="144"/>
        <v>0.3538639207006063</v>
      </c>
      <c r="K848" s="95" t="s">
        <v>135</v>
      </c>
      <c r="L848" s="140" t="s">
        <v>252</v>
      </c>
      <c r="M848" s="41">
        <f t="shared" si="145"/>
        <v>120.6675</v>
      </c>
      <c r="N848" s="118">
        <v>161.78</v>
      </c>
      <c r="O848" s="121">
        <f>WORKDAY(B848,40,'Weekly Summary'!P$2:P$10)</f>
        <v>42104</v>
      </c>
      <c r="P848" s="116" t="s">
        <v>52</v>
      </c>
      <c r="Q848" s="117">
        <v>176.82</v>
      </c>
      <c r="R848" s="118">
        <f>Q848*0.855</f>
        <v>151.1811</v>
      </c>
      <c r="S848" s="117">
        <f>1.11*C848</f>
        <v>144.0225</v>
      </c>
      <c r="T848" s="116"/>
      <c r="U848" s="117"/>
      <c r="V848" s="15"/>
    </row>
    <row r="849" spans="1:22" s="114" customFormat="1" ht="15">
      <c r="A849" s="12" t="s">
        <v>52</v>
      </c>
      <c r="B849" s="65">
        <v>42047.275</v>
      </c>
      <c r="C849" s="14">
        <v>133.95</v>
      </c>
      <c r="D849" s="15">
        <v>45</v>
      </c>
      <c r="E849" s="15">
        <f t="shared" si="141"/>
        <v>6038.749999999999</v>
      </c>
      <c r="F849" s="13"/>
      <c r="G849" s="14">
        <v>175.85</v>
      </c>
      <c r="H849" s="15">
        <f t="shared" si="142"/>
        <v>7913.25</v>
      </c>
      <c r="I849" s="16">
        <f t="shared" si="143"/>
        <v>1874.500000000001</v>
      </c>
      <c r="J849" s="19">
        <f t="shared" si="144"/>
        <v>0.31041192299730924</v>
      </c>
      <c r="K849" s="95" t="s">
        <v>136</v>
      </c>
      <c r="L849" s="140" t="s">
        <v>252</v>
      </c>
      <c r="M849" s="41">
        <f t="shared" si="145"/>
        <v>124.5735</v>
      </c>
      <c r="N849" s="118">
        <v>161.78</v>
      </c>
      <c r="O849" s="116"/>
      <c r="P849" s="116" t="s">
        <v>52</v>
      </c>
      <c r="Q849" s="117"/>
      <c r="R849" s="118"/>
      <c r="S849" s="117"/>
      <c r="T849" s="116"/>
      <c r="V849" s="15"/>
    </row>
    <row r="850" spans="1:22" s="114" customFormat="1" ht="15">
      <c r="A850" s="12" t="s">
        <v>52</v>
      </c>
      <c r="B850" s="65">
        <v>42048.450694444444</v>
      </c>
      <c r="C850" s="14">
        <v>135.8</v>
      </c>
      <c r="D850" s="15">
        <v>30</v>
      </c>
      <c r="E850" s="15">
        <f t="shared" si="141"/>
        <v>4085.0000000000005</v>
      </c>
      <c r="F850" s="13"/>
      <c r="G850" s="14">
        <v>175.85</v>
      </c>
      <c r="H850" s="15">
        <f t="shared" si="142"/>
        <v>5275.5</v>
      </c>
      <c r="I850" s="16">
        <f t="shared" si="143"/>
        <v>1190.4999999999995</v>
      </c>
      <c r="J850" s="19">
        <f t="shared" si="144"/>
        <v>0.2914320685434515</v>
      </c>
      <c r="K850" s="95" t="s">
        <v>143</v>
      </c>
      <c r="L850" s="140" t="s">
        <v>252</v>
      </c>
      <c r="M850" s="41">
        <f t="shared" si="145"/>
        <v>126.29400000000001</v>
      </c>
      <c r="N850" s="118">
        <v>161.78</v>
      </c>
      <c r="O850" s="116"/>
      <c r="P850" s="116" t="s">
        <v>52</v>
      </c>
      <c r="Q850" s="117"/>
      <c r="R850" s="118"/>
      <c r="S850" s="117"/>
      <c r="T850" s="116"/>
      <c r="V850" s="15"/>
    </row>
    <row r="851" spans="1:22" s="114" customFormat="1" ht="15">
      <c r="A851" s="12" t="s">
        <v>52</v>
      </c>
      <c r="B851" s="65">
        <v>42074.29027777778</v>
      </c>
      <c r="C851" s="14">
        <v>140.55</v>
      </c>
      <c r="D851" s="15">
        <v>30</v>
      </c>
      <c r="E851" s="15">
        <f t="shared" si="141"/>
        <v>4227.5</v>
      </c>
      <c r="F851" s="13"/>
      <c r="G851" s="14">
        <v>175.85</v>
      </c>
      <c r="H851" s="15">
        <f t="shared" si="142"/>
        <v>5275.5</v>
      </c>
      <c r="I851" s="16">
        <f t="shared" si="143"/>
        <v>1048</v>
      </c>
      <c r="J851" s="19">
        <f t="shared" si="144"/>
        <v>0.24790065050266114</v>
      </c>
      <c r="K851" s="95" t="s">
        <v>182</v>
      </c>
      <c r="L851" s="140" t="s">
        <v>252</v>
      </c>
      <c r="M851" s="41">
        <f t="shared" si="145"/>
        <v>130.71150000000003</v>
      </c>
      <c r="N851" s="118">
        <v>161.78</v>
      </c>
      <c r="O851" s="116"/>
      <c r="P851" s="116" t="s">
        <v>52</v>
      </c>
      <c r="Q851" s="117"/>
      <c r="R851" s="118"/>
      <c r="S851" s="117"/>
      <c r="T851" s="116"/>
      <c r="V851" s="15"/>
    </row>
    <row r="852" spans="1:23" s="114" customFormat="1" ht="15">
      <c r="A852" s="12" t="s">
        <v>52</v>
      </c>
      <c r="B852" s="65">
        <v>42093.27638888889</v>
      </c>
      <c r="C852" s="14">
        <v>149.29</v>
      </c>
      <c r="D852" s="15">
        <v>40</v>
      </c>
      <c r="E852" s="15">
        <f t="shared" si="141"/>
        <v>5982.599999999999</v>
      </c>
      <c r="F852" s="13"/>
      <c r="G852" s="14">
        <v>175.85</v>
      </c>
      <c r="H852" s="15">
        <f t="shared" si="142"/>
        <v>7034</v>
      </c>
      <c r="I852" s="16">
        <f t="shared" si="143"/>
        <v>1051.4000000000005</v>
      </c>
      <c r="J852" s="19">
        <f t="shared" si="144"/>
        <v>0.17574298799852917</v>
      </c>
      <c r="K852" s="95" t="s">
        <v>213</v>
      </c>
      <c r="L852" s="140" t="s">
        <v>252</v>
      </c>
      <c r="M852" s="41">
        <f t="shared" si="145"/>
        <v>138.8397</v>
      </c>
      <c r="N852" s="118">
        <v>161.78</v>
      </c>
      <c r="O852" s="116"/>
      <c r="P852" s="116" t="s">
        <v>52</v>
      </c>
      <c r="Q852" s="117"/>
      <c r="R852" s="118"/>
      <c r="S852" s="117"/>
      <c r="T852" s="116"/>
      <c r="V852" s="15"/>
      <c r="W852" s="29"/>
    </row>
    <row r="853" spans="1:24" s="114" customFormat="1" ht="15">
      <c r="A853" s="12" t="s">
        <v>52</v>
      </c>
      <c r="B853" s="65">
        <v>42142.46666666667</v>
      </c>
      <c r="C853" s="14">
        <v>158</v>
      </c>
      <c r="D853" s="15">
        <v>45</v>
      </c>
      <c r="E853" s="15">
        <f t="shared" si="141"/>
        <v>7121</v>
      </c>
      <c r="F853" s="13"/>
      <c r="G853" s="14">
        <v>175.85</v>
      </c>
      <c r="H853" s="15">
        <f t="shared" si="142"/>
        <v>7913.25</v>
      </c>
      <c r="I853" s="16">
        <f t="shared" si="143"/>
        <v>792.25</v>
      </c>
      <c r="J853" s="19">
        <f t="shared" si="144"/>
        <v>0.11125544165145344</v>
      </c>
      <c r="K853" s="95" t="s">
        <v>246</v>
      </c>
      <c r="L853" s="140" t="s">
        <v>253</v>
      </c>
      <c r="M853" s="41">
        <f t="shared" si="145"/>
        <v>146.94</v>
      </c>
      <c r="N853" s="118">
        <v>161.78</v>
      </c>
      <c r="O853" s="116"/>
      <c r="P853" s="116" t="s">
        <v>52</v>
      </c>
      <c r="Q853" s="117"/>
      <c r="R853" s="118"/>
      <c r="S853" s="117"/>
      <c r="T853" s="116"/>
      <c r="V853" s="15"/>
      <c r="W853" s="29"/>
      <c r="X853" s="29"/>
    </row>
    <row r="854" spans="1:24" s="114" customFormat="1" ht="15">
      <c r="A854" s="12" t="s">
        <v>52</v>
      </c>
      <c r="B854" s="65">
        <v>42152.50625</v>
      </c>
      <c r="C854" s="14">
        <v>168</v>
      </c>
      <c r="D854" s="15">
        <v>55</v>
      </c>
      <c r="E854" s="15">
        <f t="shared" si="141"/>
        <v>9251</v>
      </c>
      <c r="F854" s="13"/>
      <c r="G854" s="14">
        <v>175.85</v>
      </c>
      <c r="H854" s="15">
        <f t="shared" si="142"/>
        <v>9671.75</v>
      </c>
      <c r="I854" s="16">
        <f t="shared" si="143"/>
        <v>420.75</v>
      </c>
      <c r="J854" s="19">
        <f t="shared" si="144"/>
        <v>0.04548156956004756</v>
      </c>
      <c r="K854" s="95" t="s">
        <v>244</v>
      </c>
      <c r="L854" s="140" t="s">
        <v>254</v>
      </c>
      <c r="M854" s="41">
        <f t="shared" si="145"/>
        <v>156.24</v>
      </c>
      <c r="N854" s="118">
        <v>161.78</v>
      </c>
      <c r="O854" s="116"/>
      <c r="P854" s="116" t="s">
        <v>52</v>
      </c>
      <c r="Q854" s="117"/>
      <c r="R854" s="118"/>
      <c r="S854" s="117"/>
      <c r="T854" s="116"/>
      <c r="V854" s="15"/>
      <c r="W854" s="29"/>
      <c r="X854" s="29"/>
    </row>
    <row r="855" spans="1:22" s="114" customFormat="1" ht="15">
      <c r="A855" s="12" t="s">
        <v>39</v>
      </c>
      <c r="B855" s="65">
        <v>42062.53680555556</v>
      </c>
      <c r="C855" s="14">
        <v>57.65</v>
      </c>
      <c r="D855" s="15">
        <v>100</v>
      </c>
      <c r="E855" s="15">
        <f t="shared" si="141"/>
        <v>5776</v>
      </c>
      <c r="F855" s="13"/>
      <c r="G855" s="14">
        <v>118.16</v>
      </c>
      <c r="H855" s="15">
        <f t="shared" si="142"/>
        <v>11816</v>
      </c>
      <c r="I855" s="16">
        <f t="shared" si="143"/>
        <v>6040</v>
      </c>
      <c r="J855" s="19">
        <f t="shared" si="144"/>
        <v>1.0457063711911356</v>
      </c>
      <c r="K855" s="141" t="s">
        <v>243</v>
      </c>
      <c r="L855" s="143" t="s">
        <v>250</v>
      </c>
      <c r="M855" s="41">
        <f t="shared" si="145"/>
        <v>53.6145</v>
      </c>
      <c r="N855" s="142">
        <v>79</v>
      </c>
      <c r="O855" s="121">
        <v>42124</v>
      </c>
      <c r="P855" s="116" t="s">
        <v>39</v>
      </c>
      <c r="Q855" s="117">
        <v>120</v>
      </c>
      <c r="R855" s="118">
        <f>Q855*0.855</f>
        <v>102.6</v>
      </c>
      <c r="S855" s="117">
        <f>1.11*C855</f>
        <v>63.9915</v>
      </c>
      <c r="T855" s="116"/>
      <c r="U855" s="117"/>
      <c r="V855" s="15"/>
    </row>
    <row r="856" spans="1:22" s="114" customFormat="1" ht="15">
      <c r="A856" s="12" t="s">
        <v>39</v>
      </c>
      <c r="B856" s="65">
        <v>42073.322916666664</v>
      </c>
      <c r="C856" s="14">
        <v>65.15</v>
      </c>
      <c r="D856" s="15">
        <v>350</v>
      </c>
      <c r="E856" s="15">
        <f t="shared" si="141"/>
        <v>22813.500000000004</v>
      </c>
      <c r="F856" s="13"/>
      <c r="G856" s="14">
        <v>118.16</v>
      </c>
      <c r="H856" s="15">
        <f t="shared" si="142"/>
        <v>41356</v>
      </c>
      <c r="I856" s="16">
        <f t="shared" si="143"/>
        <v>18542.499999999996</v>
      </c>
      <c r="J856" s="19">
        <f t="shared" si="144"/>
        <v>0.8127862888202159</v>
      </c>
      <c r="K856" s="95" t="s">
        <v>164</v>
      </c>
      <c r="L856" s="143" t="s">
        <v>250</v>
      </c>
      <c r="M856" s="41">
        <f t="shared" si="145"/>
        <v>60.58950000000001</v>
      </c>
      <c r="N856" s="142">
        <v>79</v>
      </c>
      <c r="O856" s="116"/>
      <c r="P856" s="116" t="s">
        <v>39</v>
      </c>
      <c r="Q856" s="117"/>
      <c r="R856" s="118"/>
      <c r="S856" s="117"/>
      <c r="T856" s="116"/>
      <c r="V856" s="15"/>
    </row>
    <row r="857" spans="1:22" s="114" customFormat="1" ht="15">
      <c r="A857" s="12" t="s">
        <v>39</v>
      </c>
      <c r="B857" s="65">
        <v>42073.35555555556</v>
      </c>
      <c r="C857" s="14">
        <v>66.15</v>
      </c>
      <c r="D857" s="15">
        <v>110</v>
      </c>
      <c r="E857" s="15">
        <f t="shared" si="141"/>
        <v>7287.500000000001</v>
      </c>
      <c r="F857" s="13"/>
      <c r="G857" s="14">
        <v>118.16</v>
      </c>
      <c r="H857" s="15">
        <f t="shared" si="142"/>
        <v>12997.6</v>
      </c>
      <c r="I857" s="16">
        <f t="shared" si="143"/>
        <v>5710.099999999999</v>
      </c>
      <c r="J857" s="19">
        <f t="shared" si="144"/>
        <v>0.7835471698113206</v>
      </c>
      <c r="K857" s="132" t="s">
        <v>249</v>
      </c>
      <c r="L857" s="143" t="s">
        <v>250</v>
      </c>
      <c r="M857" s="41">
        <f t="shared" si="145"/>
        <v>61.51950000000001</v>
      </c>
      <c r="N857" s="142">
        <v>79</v>
      </c>
      <c r="O857" s="116"/>
      <c r="P857" s="116" t="s">
        <v>39</v>
      </c>
      <c r="Q857" s="117"/>
      <c r="R857" s="118"/>
      <c r="S857" s="117"/>
      <c r="T857" s="116"/>
      <c r="V857" s="15"/>
    </row>
    <row r="858" spans="1:22" s="114" customFormat="1" ht="15">
      <c r="A858" s="12" t="s">
        <v>39</v>
      </c>
      <c r="B858" s="65">
        <v>42093.34375</v>
      </c>
      <c r="C858" s="14">
        <v>73.37</v>
      </c>
      <c r="D858" s="15">
        <v>110</v>
      </c>
      <c r="E858" s="15">
        <f t="shared" si="141"/>
        <v>8081.700000000001</v>
      </c>
      <c r="F858" s="13"/>
      <c r="G858" s="14">
        <v>118.16</v>
      </c>
      <c r="H858" s="15">
        <f t="shared" si="142"/>
        <v>12997.6</v>
      </c>
      <c r="I858" s="16">
        <f t="shared" si="143"/>
        <v>4915.9</v>
      </c>
      <c r="J858" s="19">
        <f t="shared" si="144"/>
        <v>0.6082754865931672</v>
      </c>
      <c r="K858" s="95" t="s">
        <v>214</v>
      </c>
      <c r="L858" s="143" t="s">
        <v>250</v>
      </c>
      <c r="M858" s="41">
        <f t="shared" si="145"/>
        <v>68.23410000000001</v>
      </c>
      <c r="N858" s="142">
        <v>79</v>
      </c>
      <c r="O858" s="116"/>
      <c r="P858" s="116" t="s">
        <v>39</v>
      </c>
      <c r="Q858" s="117"/>
      <c r="R858" s="118"/>
      <c r="S858" s="117"/>
      <c r="T858" s="116"/>
      <c r="V858" s="15"/>
    </row>
    <row r="859" spans="1:23" s="114" customFormat="1" ht="15">
      <c r="A859" s="12" t="s">
        <v>39</v>
      </c>
      <c r="B859" s="65">
        <v>42139.313888888886</v>
      </c>
      <c r="C859" s="14">
        <v>77.5</v>
      </c>
      <c r="D859" s="15">
        <v>200</v>
      </c>
      <c r="E859" s="15">
        <f t="shared" si="141"/>
        <v>15511</v>
      </c>
      <c r="F859" s="13"/>
      <c r="G859" s="14">
        <v>118.16</v>
      </c>
      <c r="H859" s="15">
        <f t="shared" si="142"/>
        <v>23632</v>
      </c>
      <c r="I859" s="16">
        <f t="shared" si="143"/>
        <v>8121</v>
      </c>
      <c r="J859" s="19">
        <f t="shared" si="144"/>
        <v>0.5235639223776675</v>
      </c>
      <c r="K859" s="95" t="s">
        <v>241</v>
      </c>
      <c r="L859" s="143" t="s">
        <v>250</v>
      </c>
      <c r="M859" s="41">
        <f t="shared" si="145"/>
        <v>72.075</v>
      </c>
      <c r="N859" s="142">
        <v>79</v>
      </c>
      <c r="O859" s="116"/>
      <c r="P859" s="116" t="s">
        <v>39</v>
      </c>
      <c r="Q859" s="117"/>
      <c r="R859" s="118"/>
      <c r="S859" s="117"/>
      <c r="T859" s="116"/>
      <c r="V859" s="15"/>
      <c r="W859" s="29"/>
    </row>
    <row r="860" spans="1:23" s="114" customFormat="1" ht="15">
      <c r="A860" s="12" t="s">
        <v>39</v>
      </c>
      <c r="B860" s="65">
        <v>42156.38402777778</v>
      </c>
      <c r="C860" s="14">
        <v>93.05</v>
      </c>
      <c r="D860" s="15">
        <v>180</v>
      </c>
      <c r="E860" s="15">
        <f t="shared" si="141"/>
        <v>16760</v>
      </c>
      <c r="F860" s="13"/>
      <c r="G860" s="14">
        <v>118.16</v>
      </c>
      <c r="H860" s="15">
        <f t="shared" si="142"/>
        <v>21268.8</v>
      </c>
      <c r="I860" s="16">
        <f t="shared" si="143"/>
        <v>4508.799999999999</v>
      </c>
      <c r="J860" s="19">
        <f t="shared" si="144"/>
        <v>0.2690214797136038</v>
      </c>
      <c r="K860" s="95" t="s">
        <v>255</v>
      </c>
      <c r="L860" s="143" t="s">
        <v>250</v>
      </c>
      <c r="M860" s="20">
        <f t="shared" si="145"/>
        <v>86.5365</v>
      </c>
      <c r="N860" s="142">
        <v>79</v>
      </c>
      <c r="O860" s="116"/>
      <c r="P860" s="116" t="s">
        <v>39</v>
      </c>
      <c r="Q860" s="117"/>
      <c r="R860" s="118"/>
      <c r="S860" s="117"/>
      <c r="T860" s="116"/>
      <c r="V860" s="15"/>
      <c r="W860" s="29"/>
    </row>
    <row r="861" spans="1:22" s="114" customFormat="1" ht="15">
      <c r="A861" s="12" t="s">
        <v>169</v>
      </c>
      <c r="B861" s="65">
        <v>42076.538194444445</v>
      </c>
      <c r="C861" s="14">
        <v>56.64</v>
      </c>
      <c r="D861" s="15">
        <v>320</v>
      </c>
      <c r="E861" s="15">
        <f t="shared" si="141"/>
        <v>18135.8</v>
      </c>
      <c r="F861" s="13"/>
      <c r="G861" s="14">
        <v>61.78</v>
      </c>
      <c r="H861" s="15">
        <f t="shared" si="142"/>
        <v>19769.6</v>
      </c>
      <c r="I861" s="16">
        <f t="shared" si="143"/>
        <v>1633.7999999999993</v>
      </c>
      <c r="J861" s="19">
        <f t="shared" si="144"/>
        <v>0.09008701022287406</v>
      </c>
      <c r="K861" s="95" t="s">
        <v>170</v>
      </c>
      <c r="L861" s="119"/>
      <c r="M861" s="20">
        <f t="shared" si="145"/>
        <v>52.675200000000004</v>
      </c>
      <c r="N861" s="118">
        <v>71.25</v>
      </c>
      <c r="O861" s="121">
        <v>42132</v>
      </c>
      <c r="P861" s="116" t="s">
        <v>169</v>
      </c>
      <c r="Q861" s="117">
        <v>62.26</v>
      </c>
      <c r="R861" s="118">
        <f>Q861*0.855</f>
        <v>53.232299999999995</v>
      </c>
      <c r="S861" s="117">
        <f>1.11*C861</f>
        <v>62.870400000000004</v>
      </c>
      <c r="T861" s="116"/>
      <c r="U861" s="117"/>
      <c r="V861" s="15"/>
    </row>
    <row r="862" spans="1:22" s="114" customFormat="1" ht="15">
      <c r="A862" s="12" t="s">
        <v>169</v>
      </c>
      <c r="B862" s="65">
        <v>42082.302777777775</v>
      </c>
      <c r="C862" s="14">
        <v>57.9</v>
      </c>
      <c r="D862" s="15">
        <v>190</v>
      </c>
      <c r="E862" s="15">
        <f t="shared" si="141"/>
        <v>11012</v>
      </c>
      <c r="F862" s="13"/>
      <c r="G862" s="14">
        <v>61.78</v>
      </c>
      <c r="H862" s="15">
        <f t="shared" si="142"/>
        <v>11738.2</v>
      </c>
      <c r="I862" s="16">
        <f t="shared" si="143"/>
        <v>726.2000000000007</v>
      </c>
      <c r="J862" s="19">
        <f t="shared" si="144"/>
        <v>0.06594624046494739</v>
      </c>
      <c r="K862" s="95" t="s">
        <v>217</v>
      </c>
      <c r="L862" s="119"/>
      <c r="M862" s="20">
        <f t="shared" si="145"/>
        <v>53.847</v>
      </c>
      <c r="N862" s="118">
        <v>71.25</v>
      </c>
      <c r="O862" s="116"/>
      <c r="P862" s="116" t="s">
        <v>169</v>
      </c>
      <c r="Q862" s="117"/>
      <c r="R862" s="118"/>
      <c r="S862" s="117"/>
      <c r="T862" s="116"/>
      <c r="V862" s="15"/>
    </row>
    <row r="863" spans="1:23" s="114" customFormat="1" ht="15">
      <c r="A863" s="12" t="s">
        <v>169</v>
      </c>
      <c r="B863" s="65">
        <v>42103.433333333334</v>
      </c>
      <c r="C863" s="14">
        <v>59.27</v>
      </c>
      <c r="D863" s="15">
        <v>125</v>
      </c>
      <c r="E863" s="15">
        <f t="shared" si="141"/>
        <v>7419.75</v>
      </c>
      <c r="F863" s="13"/>
      <c r="G863" s="14">
        <v>61.78</v>
      </c>
      <c r="H863" s="15">
        <f t="shared" si="142"/>
        <v>7722.5</v>
      </c>
      <c r="I863" s="16">
        <f t="shared" si="143"/>
        <v>302.75</v>
      </c>
      <c r="J863" s="19">
        <f t="shared" si="144"/>
        <v>0.040803261565416624</v>
      </c>
      <c r="K863" s="95" t="s">
        <v>216</v>
      </c>
      <c r="L863" s="119"/>
      <c r="M863" s="20">
        <f t="shared" si="145"/>
        <v>55.121100000000006</v>
      </c>
      <c r="N863" s="118">
        <v>71.25</v>
      </c>
      <c r="O863" s="116"/>
      <c r="P863" s="116" t="s">
        <v>169</v>
      </c>
      <c r="Q863" s="117"/>
      <c r="R863" s="118"/>
      <c r="S863" s="117"/>
      <c r="T863" s="116"/>
      <c r="V863" s="15"/>
      <c r="W863" s="29"/>
    </row>
    <row r="864" spans="1:22" s="114" customFormat="1" ht="15">
      <c r="A864" s="12" t="s">
        <v>208</v>
      </c>
      <c r="B864" s="65">
        <v>42090.308333333334</v>
      </c>
      <c r="C864" s="14">
        <v>214</v>
      </c>
      <c r="D864" s="15">
        <v>95</v>
      </c>
      <c r="E864" s="15">
        <f t="shared" si="141"/>
        <v>20341</v>
      </c>
      <c r="F864" s="13"/>
      <c r="G864" s="14">
        <v>225.45</v>
      </c>
      <c r="H864" s="15">
        <f t="shared" si="142"/>
        <v>21417.75</v>
      </c>
      <c r="I864" s="16">
        <f t="shared" si="143"/>
        <v>1076.75</v>
      </c>
      <c r="J864" s="19">
        <f t="shared" si="144"/>
        <v>0.05293495894990413</v>
      </c>
      <c r="K864" s="95" t="s">
        <v>212</v>
      </c>
      <c r="L864" s="119"/>
      <c r="M864" s="20">
        <f t="shared" si="145"/>
        <v>199.02</v>
      </c>
      <c r="N864" s="118">
        <v>267.7</v>
      </c>
      <c r="O864" s="121">
        <v>42136</v>
      </c>
      <c r="P864" s="116" t="s">
        <v>208</v>
      </c>
      <c r="Q864" s="117">
        <v>230.7</v>
      </c>
      <c r="R864" s="118">
        <f>Q864*0.855</f>
        <v>197.24849999999998</v>
      </c>
      <c r="S864" s="117">
        <f>1.11*C864</f>
        <v>237.54000000000002</v>
      </c>
      <c r="T864" s="116"/>
      <c r="U864" s="117"/>
      <c r="V864" s="15"/>
    </row>
    <row r="865" spans="1:22" s="114" customFormat="1" ht="15">
      <c r="A865" s="12" t="s">
        <v>208</v>
      </c>
      <c r="B865" s="65">
        <v>42093.29305555556</v>
      </c>
      <c r="C865" s="14">
        <v>219.41</v>
      </c>
      <c r="D865" s="15">
        <v>55</v>
      </c>
      <c r="E865" s="15">
        <f t="shared" si="141"/>
        <v>12078.55</v>
      </c>
      <c r="F865" s="13"/>
      <c r="G865" s="14">
        <v>225.45</v>
      </c>
      <c r="H865" s="15">
        <f t="shared" si="142"/>
        <v>12399.75</v>
      </c>
      <c r="I865" s="16">
        <f t="shared" si="143"/>
        <v>321.2000000000007</v>
      </c>
      <c r="J865" s="19">
        <f t="shared" si="144"/>
        <v>0.0265925959655754</v>
      </c>
      <c r="K865" s="95" t="s">
        <v>211</v>
      </c>
      <c r="L865" s="119"/>
      <c r="M865" s="20">
        <f t="shared" si="145"/>
        <v>204.0513</v>
      </c>
      <c r="N865" s="118">
        <v>267.7</v>
      </c>
      <c r="O865" s="116"/>
      <c r="P865" s="116" t="s">
        <v>208</v>
      </c>
      <c r="Q865" s="117"/>
      <c r="R865" s="118"/>
      <c r="S865" s="117"/>
      <c r="T865" s="116"/>
      <c r="V865" s="15"/>
    </row>
    <row r="866" spans="1:23" s="114" customFormat="1" ht="15">
      <c r="A866" s="12" t="s">
        <v>208</v>
      </c>
      <c r="B866" s="65">
        <v>42117.27569444444</v>
      </c>
      <c r="C866" s="14">
        <v>226.35</v>
      </c>
      <c r="D866" s="15">
        <v>35</v>
      </c>
      <c r="E866" s="15">
        <f t="shared" si="141"/>
        <v>7933.25</v>
      </c>
      <c r="F866" s="13"/>
      <c r="G866" s="14">
        <v>225.45</v>
      </c>
      <c r="H866" s="15">
        <f t="shared" si="142"/>
        <v>7890.75</v>
      </c>
      <c r="I866" s="16">
        <f t="shared" si="143"/>
        <v>-42.5</v>
      </c>
      <c r="J866" s="19">
        <f t="shared" si="144"/>
        <v>-0.005357199130242965</v>
      </c>
      <c r="K866" s="95" t="s">
        <v>236</v>
      </c>
      <c r="L866" s="119"/>
      <c r="M866" s="20">
        <f t="shared" si="145"/>
        <v>210.5055</v>
      </c>
      <c r="N866" s="118">
        <v>267.7</v>
      </c>
      <c r="O866" s="116"/>
      <c r="P866" s="116" t="s">
        <v>208</v>
      </c>
      <c r="Q866" s="117"/>
      <c r="R866" s="118"/>
      <c r="S866" s="117"/>
      <c r="T866" s="116"/>
      <c r="V866" s="15"/>
      <c r="W866" s="29"/>
    </row>
    <row r="867" spans="1:23" s="114" customFormat="1" ht="15">
      <c r="A867" s="12" t="s">
        <v>66</v>
      </c>
      <c r="B867" s="65">
        <v>42156.31875</v>
      </c>
      <c r="C867" s="14">
        <v>41</v>
      </c>
      <c r="D867" s="15">
        <v>1900</v>
      </c>
      <c r="E867" s="15">
        <f t="shared" si="141"/>
        <v>77911</v>
      </c>
      <c r="F867" s="13"/>
      <c r="G867" s="14">
        <v>43.39</v>
      </c>
      <c r="H867" s="15">
        <f t="shared" si="142"/>
        <v>82441</v>
      </c>
      <c r="I867" s="16">
        <f t="shared" si="143"/>
        <v>4530</v>
      </c>
      <c r="J867" s="19">
        <f t="shared" si="144"/>
        <v>0.05814326603432121</v>
      </c>
      <c r="K867" s="95" t="s">
        <v>256</v>
      </c>
      <c r="L867" s="119"/>
      <c r="M867" s="20">
        <f t="shared" si="145"/>
        <v>38.13</v>
      </c>
      <c r="N867" s="118">
        <v>52.13</v>
      </c>
      <c r="O867" s="116"/>
      <c r="P867" s="116" t="s">
        <v>66</v>
      </c>
      <c r="Q867" s="117">
        <v>43.66</v>
      </c>
      <c r="R867" s="118"/>
      <c r="S867" s="117">
        <f>1.11*C867</f>
        <v>45.510000000000005</v>
      </c>
      <c r="T867" s="116"/>
      <c r="V867" s="15"/>
      <c r="W867" s="29"/>
    </row>
    <row r="868" spans="1:23" s="114" customFormat="1" ht="15">
      <c r="A868" s="12" t="s">
        <v>66</v>
      </c>
      <c r="B868" s="65">
        <v>42158.308333333334</v>
      </c>
      <c r="C868" s="14">
        <v>42.1</v>
      </c>
      <c r="D868" s="15">
        <v>1100</v>
      </c>
      <c r="E868" s="15">
        <f t="shared" si="141"/>
        <v>46321</v>
      </c>
      <c r="F868" s="13"/>
      <c r="G868" s="14">
        <v>43.39</v>
      </c>
      <c r="H868" s="15">
        <f t="shared" si="142"/>
        <v>47729</v>
      </c>
      <c r="I868" s="16">
        <f t="shared" si="143"/>
        <v>1408</v>
      </c>
      <c r="J868" s="19">
        <f t="shared" si="144"/>
        <v>0.03039658038470672</v>
      </c>
      <c r="K868" s="95" t="s">
        <v>261</v>
      </c>
      <c r="L868" s="119"/>
      <c r="M868" s="20">
        <f t="shared" si="145"/>
        <v>39.153000000000006</v>
      </c>
      <c r="N868" s="118">
        <v>52.13</v>
      </c>
      <c r="O868" s="116"/>
      <c r="P868" s="116" t="s">
        <v>66</v>
      </c>
      <c r="Q868" s="117"/>
      <c r="R868" s="118"/>
      <c r="S868" s="117"/>
      <c r="T868" s="116"/>
      <c r="V868" s="15"/>
      <c r="W868" s="29"/>
    </row>
    <row r="869" spans="1:23" s="114" customFormat="1" ht="15">
      <c r="A869" s="85" t="s">
        <v>66</v>
      </c>
      <c r="B869" s="65">
        <v>41798.27222222222</v>
      </c>
      <c r="C869" s="14">
        <v>43.43</v>
      </c>
      <c r="D869" s="15">
        <v>700</v>
      </c>
      <c r="E869" s="15">
        <f t="shared" si="141"/>
        <v>30412</v>
      </c>
      <c r="F869" s="13"/>
      <c r="G869" s="14">
        <v>43.39</v>
      </c>
      <c r="H869" s="15">
        <f t="shared" si="142"/>
        <v>30373</v>
      </c>
      <c r="I869" s="16">
        <f t="shared" si="143"/>
        <v>-39</v>
      </c>
      <c r="J869" s="19">
        <f t="shared" si="144"/>
        <v>-0.0012823885308430882</v>
      </c>
      <c r="K869" s="95" t="s">
        <v>260</v>
      </c>
      <c r="L869" s="119"/>
      <c r="M869" s="20">
        <f t="shared" si="145"/>
        <v>40.389900000000004</v>
      </c>
      <c r="N869" s="118">
        <v>52.13</v>
      </c>
      <c r="O869" s="116"/>
      <c r="P869" s="116" t="s">
        <v>66</v>
      </c>
      <c r="Q869" s="117"/>
      <c r="R869" s="118"/>
      <c r="S869" s="117"/>
      <c r="T869" s="116"/>
      <c r="V869" s="15"/>
      <c r="W869" s="29"/>
    </row>
    <row r="870" spans="1:23" s="114" customFormat="1" ht="15">
      <c r="A870" s="85" t="s">
        <v>59</v>
      </c>
      <c r="B870" s="65">
        <v>42164.36944444444</v>
      </c>
      <c r="C870" s="14">
        <v>47.25</v>
      </c>
      <c r="D870" s="15">
        <v>1600</v>
      </c>
      <c r="E870" s="15">
        <f t="shared" si="141"/>
        <v>75611</v>
      </c>
      <c r="F870" s="13"/>
      <c r="G870" s="14">
        <v>51.56</v>
      </c>
      <c r="H870" s="15">
        <f t="shared" si="142"/>
        <v>82496</v>
      </c>
      <c r="I870" s="16">
        <f t="shared" si="143"/>
        <v>6885</v>
      </c>
      <c r="J870" s="19">
        <f t="shared" si="144"/>
        <v>0.09105817936543624</v>
      </c>
      <c r="K870" s="95" t="s">
        <v>263</v>
      </c>
      <c r="L870" s="119"/>
      <c r="M870" s="20">
        <f t="shared" si="145"/>
        <v>43.9425</v>
      </c>
      <c r="N870" s="118">
        <v>60.98</v>
      </c>
      <c r="O870" s="121">
        <v>42223</v>
      </c>
      <c r="P870" s="116" t="s">
        <v>59</v>
      </c>
      <c r="Q870" s="117">
        <v>52.17</v>
      </c>
      <c r="R870" s="118"/>
      <c r="S870" s="117">
        <f>1.11*C870</f>
        <v>52.447500000000005</v>
      </c>
      <c r="T870" s="116"/>
      <c r="V870" s="15"/>
      <c r="W870" s="29"/>
    </row>
    <row r="871" spans="1:23" s="114" customFormat="1" ht="15">
      <c r="A871" s="85" t="s">
        <v>59</v>
      </c>
      <c r="B871" s="65">
        <v>42164.478472222225</v>
      </c>
      <c r="C871" s="14">
        <v>48.3</v>
      </c>
      <c r="D871" s="15">
        <v>1000</v>
      </c>
      <c r="E871" s="15">
        <f t="shared" si="141"/>
        <v>48311</v>
      </c>
      <c r="F871" s="13"/>
      <c r="G871" s="14">
        <v>51.56</v>
      </c>
      <c r="H871" s="15">
        <f t="shared" si="142"/>
        <v>51560</v>
      </c>
      <c r="I871" s="16">
        <f t="shared" si="143"/>
        <v>3249</v>
      </c>
      <c r="J871" s="19">
        <f t="shared" si="144"/>
        <v>0.06725176460847426</v>
      </c>
      <c r="K871" s="95" t="s">
        <v>265</v>
      </c>
      <c r="L871" s="119"/>
      <c r="M871" s="20">
        <f t="shared" si="145"/>
        <v>44.919</v>
      </c>
      <c r="N871" s="118">
        <v>60.98</v>
      </c>
      <c r="O871" s="116"/>
      <c r="P871" s="116" t="s">
        <v>59</v>
      </c>
      <c r="Q871" s="117"/>
      <c r="R871" s="118"/>
      <c r="S871" s="117"/>
      <c r="T871" s="116"/>
      <c r="V871" s="15"/>
      <c r="W871" s="29"/>
    </row>
    <row r="872" spans="1:23" s="114" customFormat="1" ht="15">
      <c r="A872" s="85" t="s">
        <v>59</v>
      </c>
      <c r="B872" s="65">
        <v>42166.291666666664</v>
      </c>
      <c r="C872" s="14">
        <v>49.14</v>
      </c>
      <c r="D872" s="15">
        <v>600</v>
      </c>
      <c r="E872" s="15">
        <f t="shared" si="141"/>
        <v>29495</v>
      </c>
      <c r="F872" s="13"/>
      <c r="G872" s="14">
        <v>51.56</v>
      </c>
      <c r="H872" s="15">
        <f t="shared" si="142"/>
        <v>30936</v>
      </c>
      <c r="I872" s="16">
        <f t="shared" si="143"/>
        <v>1441</v>
      </c>
      <c r="J872" s="19">
        <f t="shared" si="144"/>
        <v>0.048855738260722155</v>
      </c>
      <c r="K872" s="95" t="s">
        <v>264</v>
      </c>
      <c r="L872" s="119"/>
      <c r="M872" s="20">
        <f t="shared" si="145"/>
        <v>45.7002</v>
      </c>
      <c r="N872" s="118">
        <v>60.98</v>
      </c>
      <c r="O872" s="116"/>
      <c r="P872" s="116" t="s">
        <v>59</v>
      </c>
      <c r="Q872" s="117"/>
      <c r="R872" s="118"/>
      <c r="S872" s="117"/>
      <c r="T872" s="116"/>
      <c r="V872" s="15"/>
      <c r="W872" s="29"/>
    </row>
    <row r="873" spans="1:20" s="114" customFormat="1" ht="15">
      <c r="A873" s="12"/>
      <c r="B873" s="13"/>
      <c r="C873" s="14"/>
      <c r="D873" s="15"/>
      <c r="E873" s="15"/>
      <c r="F873" s="13"/>
      <c r="G873" s="14"/>
      <c r="H873" s="15"/>
      <c r="I873" s="16"/>
      <c r="J873" s="19"/>
      <c r="K873" s="95"/>
      <c r="L873" s="119"/>
      <c r="M873" s="32"/>
      <c r="N873" s="118"/>
      <c r="Q873" s="117"/>
      <c r="R873" s="117"/>
      <c r="S873" s="117"/>
      <c r="T873" s="116"/>
    </row>
    <row r="874" spans="1:20" s="114" customFormat="1" ht="15">
      <c r="A874" s="21" t="s">
        <v>14</v>
      </c>
      <c r="B874" s="22"/>
      <c r="C874" s="23"/>
      <c r="D874" s="24"/>
      <c r="E874" s="24">
        <f>SUM(E836:E873)</f>
        <v>624112.8999999999</v>
      </c>
      <c r="F874" s="22"/>
      <c r="G874" s="23"/>
      <c r="H874" s="24">
        <f>SUM(H836:H873)</f>
        <v>751310.8999999999</v>
      </c>
      <c r="I874" s="25">
        <f>SUM(I836:I873)</f>
        <v>127198</v>
      </c>
      <c r="J874" s="26">
        <f>I874/E874</f>
        <v>0.2038060741894616</v>
      </c>
      <c r="K874" s="27" t="s">
        <v>15</v>
      </c>
      <c r="L874" s="28">
        <f>100000+I876</f>
        <v>326518.36</v>
      </c>
      <c r="M874" s="81"/>
      <c r="N874" s="89"/>
      <c r="Q874" s="117"/>
      <c r="R874" s="117"/>
      <c r="S874" s="117"/>
      <c r="T874" s="116"/>
    </row>
    <row r="875" spans="1:20" s="114" customFormat="1" ht="15">
      <c r="A875" s="12" t="s">
        <v>67</v>
      </c>
      <c r="B875" s="22"/>
      <c r="C875" s="25">
        <f>I876-I831</f>
        <v>33753.899999999965</v>
      </c>
      <c r="D875" s="26">
        <f>C875/H829</f>
        <v>0.05538394896076843</v>
      </c>
      <c r="E875" s="24"/>
      <c r="F875" s="22" t="s">
        <v>16</v>
      </c>
      <c r="G875" s="117"/>
      <c r="H875" s="29" t="str">
        <f>IF(ABS(H874-E874-I874)&lt;1,"","ERROR")</f>
        <v/>
      </c>
      <c r="I875" s="30">
        <v>99320.35999999999</v>
      </c>
      <c r="J875" s="26"/>
      <c r="K875" s="111" t="s">
        <v>17</v>
      </c>
      <c r="L875" s="28">
        <f>(2*(100000+I876))-E874</f>
        <v>28923.820000000065</v>
      </c>
      <c r="M875" s="31"/>
      <c r="Q875" s="117"/>
      <c r="R875" s="117"/>
      <c r="S875" s="117"/>
      <c r="T875" s="116"/>
    </row>
    <row r="876" spans="1:20" s="114" customFormat="1" ht="15">
      <c r="A876" s="12" t="s">
        <v>54</v>
      </c>
      <c r="B876" s="22"/>
      <c r="C876" s="25">
        <f>L874-L829</f>
        <v>33753.899999999965</v>
      </c>
      <c r="D876" s="26">
        <f>C876/L829</f>
        <v>0.1152937074397622</v>
      </c>
      <c r="E876" s="24"/>
      <c r="F876" s="22" t="s">
        <v>18</v>
      </c>
      <c r="G876" s="117"/>
      <c r="H876" s="29"/>
      <c r="I876" s="30">
        <f>I874+I875</f>
        <v>226518.36</v>
      </c>
      <c r="J876" s="26">
        <f>I876/100000</f>
        <v>2.2651836</v>
      </c>
      <c r="K876" s="111" t="s">
        <v>19</v>
      </c>
      <c r="L876" s="26">
        <f>E874/(2*(100000+I876))</f>
        <v>0.955708738706148</v>
      </c>
      <c r="M876" s="31"/>
      <c r="Q876" s="117"/>
      <c r="R876" s="117"/>
      <c r="S876" s="117"/>
      <c r="T876" s="116"/>
    </row>
    <row r="877" spans="1:20" s="114" customFormat="1" ht="15">
      <c r="A877" s="114">
        <v>8</v>
      </c>
      <c r="B877" s="22"/>
      <c r="C877" s="25"/>
      <c r="D877" s="26"/>
      <c r="E877" s="24"/>
      <c r="F877" s="22"/>
      <c r="G877" s="117"/>
      <c r="H877" s="29"/>
      <c r="I877" s="30"/>
      <c r="J877" s="26"/>
      <c r="K877" s="111"/>
      <c r="L877" s="26"/>
      <c r="M877" s="31"/>
      <c r="Q877" s="117"/>
      <c r="R877" s="117"/>
      <c r="S877" s="117"/>
      <c r="T877" s="116"/>
    </row>
    <row r="878" spans="2:20" s="114" customFormat="1" ht="15">
      <c r="B878" s="22"/>
      <c r="C878" s="25"/>
      <c r="D878" s="26"/>
      <c r="E878" s="24"/>
      <c r="F878" s="22"/>
      <c r="G878" s="117"/>
      <c r="H878" s="29"/>
      <c r="I878" s="30"/>
      <c r="J878" s="26"/>
      <c r="K878" s="111"/>
      <c r="L878" s="26"/>
      <c r="M878" s="31"/>
      <c r="Q878" s="117"/>
      <c r="R878" s="117"/>
      <c r="S878" s="117"/>
      <c r="T878" s="116"/>
    </row>
    <row r="879" spans="1:20" s="114" customFormat="1" ht="30.75" customHeight="1">
      <c r="A879" s="108" t="s">
        <v>56</v>
      </c>
      <c r="B879" s="384" t="s">
        <v>266</v>
      </c>
      <c r="C879" s="384"/>
      <c r="D879" s="384"/>
      <c r="E879" s="384"/>
      <c r="F879" s="384"/>
      <c r="G879" s="384"/>
      <c r="H879" s="384"/>
      <c r="I879" s="384"/>
      <c r="J879" s="384"/>
      <c r="K879" s="384"/>
      <c r="L879" s="384"/>
      <c r="M879" s="384"/>
      <c r="N879" s="384"/>
      <c r="O879" s="92"/>
      <c r="P879" s="92"/>
      <c r="Q879" s="104"/>
      <c r="R879" s="104"/>
      <c r="S879" s="107"/>
      <c r="T879" s="109"/>
    </row>
    <row r="880" spans="1:22" s="114" customFormat="1" ht="15">
      <c r="A880" s="2" t="s">
        <v>0</v>
      </c>
      <c r="B880" s="3" t="s">
        <v>1</v>
      </c>
      <c r="C880" s="4" t="s">
        <v>2</v>
      </c>
      <c r="D880" s="5" t="s">
        <v>3</v>
      </c>
      <c r="E880" s="6" t="s">
        <v>4</v>
      </c>
      <c r="F880" s="3" t="s">
        <v>5</v>
      </c>
      <c r="G880" s="7" t="s">
        <v>2</v>
      </c>
      <c r="H880" s="6" t="s">
        <v>6</v>
      </c>
      <c r="I880" s="6" t="s">
        <v>7</v>
      </c>
      <c r="J880" s="8" t="s">
        <v>8</v>
      </c>
      <c r="K880" s="9" t="s">
        <v>9</v>
      </c>
      <c r="L880" s="10" t="s">
        <v>10</v>
      </c>
      <c r="M880" s="11" t="s">
        <v>11</v>
      </c>
      <c r="N880" s="103" t="s">
        <v>53</v>
      </c>
      <c r="O880" s="105" t="s">
        <v>110</v>
      </c>
      <c r="P880" s="106" t="s">
        <v>0</v>
      </c>
      <c r="Q880" s="117" t="s">
        <v>13</v>
      </c>
      <c r="R880" s="117" t="s">
        <v>70</v>
      </c>
      <c r="S880" s="111" t="s">
        <v>103</v>
      </c>
      <c r="T880" s="116" t="s">
        <v>107</v>
      </c>
      <c r="V880" s="9"/>
    </row>
    <row r="881" spans="1:22" s="114" customFormat="1" ht="15">
      <c r="A881" s="12" t="s">
        <v>80</v>
      </c>
      <c r="B881" s="65">
        <v>42011.30486111111</v>
      </c>
      <c r="C881" s="14">
        <v>58.02</v>
      </c>
      <c r="D881" s="15">
        <v>250</v>
      </c>
      <c r="E881" s="15">
        <f aca="true" t="shared" si="146" ref="E881:E913">C881*D881+11</f>
        <v>14516</v>
      </c>
      <c r="F881" s="13"/>
      <c r="G881" s="14">
        <v>111.58</v>
      </c>
      <c r="H881" s="15">
        <f aca="true" t="shared" si="147" ref="H881:H913">G881*D881</f>
        <v>27895</v>
      </c>
      <c r="I881" s="16">
        <f aca="true" t="shared" si="148" ref="I881:I913">H881-E881</f>
        <v>13379</v>
      </c>
      <c r="J881" s="19">
        <f aca="true" t="shared" si="149" ref="J881:J913">I881/E881</f>
        <v>0.9216726370901075</v>
      </c>
      <c r="K881" s="141" t="s">
        <v>239</v>
      </c>
      <c r="L881" s="140" t="s">
        <v>51</v>
      </c>
      <c r="M881" s="41">
        <f aca="true" t="shared" si="150" ref="M881:M913">C881*0.93</f>
        <v>53.958600000000004</v>
      </c>
      <c r="N881" s="118">
        <v>76.6</v>
      </c>
      <c r="O881" s="121">
        <v>42090</v>
      </c>
      <c r="P881" s="116" t="s">
        <v>80</v>
      </c>
      <c r="Q881" s="117">
        <v>113.03</v>
      </c>
      <c r="R881" s="118">
        <f>Q881*0.855</f>
        <v>96.64065</v>
      </c>
      <c r="S881" s="117">
        <f>1.11*C881</f>
        <v>64.40220000000001</v>
      </c>
      <c r="T881" s="116"/>
      <c r="U881" s="117"/>
      <c r="V881" s="15"/>
    </row>
    <row r="882" spans="1:22" s="114" customFormat="1" ht="15">
      <c r="A882" s="12" t="s">
        <v>80</v>
      </c>
      <c r="B882" s="65">
        <v>42011.40694444445</v>
      </c>
      <c r="C882" s="14">
        <v>59.16</v>
      </c>
      <c r="D882" s="15">
        <v>150</v>
      </c>
      <c r="E882" s="15">
        <f t="shared" si="146"/>
        <v>8885</v>
      </c>
      <c r="F882" s="13"/>
      <c r="G882" s="14">
        <v>111.58</v>
      </c>
      <c r="H882" s="15">
        <f t="shared" si="147"/>
        <v>16737</v>
      </c>
      <c r="I882" s="16">
        <f t="shared" si="148"/>
        <v>7852</v>
      </c>
      <c r="J882" s="122">
        <f t="shared" si="149"/>
        <v>0.8837366347777152</v>
      </c>
      <c r="K882" s="95" t="s">
        <v>82</v>
      </c>
      <c r="L882" s="140" t="s">
        <v>51</v>
      </c>
      <c r="M882" s="41">
        <f t="shared" si="150"/>
        <v>55.0188</v>
      </c>
      <c r="N882" s="118">
        <v>77.93</v>
      </c>
      <c r="O882" s="116"/>
      <c r="P882" s="116" t="s">
        <v>80</v>
      </c>
      <c r="Q882" s="117"/>
      <c r="R882" s="118"/>
      <c r="S882" s="117"/>
      <c r="T882" s="116"/>
      <c r="V882" s="15"/>
    </row>
    <row r="883" spans="1:22" s="114" customFormat="1" ht="15">
      <c r="A883" s="12" t="s">
        <v>80</v>
      </c>
      <c r="B883" s="65">
        <v>42012.29305555556</v>
      </c>
      <c r="C883" s="14">
        <v>60.3</v>
      </c>
      <c r="D883" s="15">
        <v>100</v>
      </c>
      <c r="E883" s="15">
        <f t="shared" si="146"/>
        <v>6041</v>
      </c>
      <c r="F883" s="13"/>
      <c r="G883" s="14">
        <v>111.58</v>
      </c>
      <c r="H883" s="15">
        <f t="shared" si="147"/>
        <v>11158</v>
      </c>
      <c r="I883" s="16">
        <f t="shared" si="148"/>
        <v>5117</v>
      </c>
      <c r="J883" s="19">
        <f t="shared" si="149"/>
        <v>0.847045191193511</v>
      </c>
      <c r="K883" s="95" t="s">
        <v>83</v>
      </c>
      <c r="L883" s="140" t="s">
        <v>51</v>
      </c>
      <c r="M883" s="41">
        <f t="shared" si="150"/>
        <v>56.079</v>
      </c>
      <c r="N883" s="118">
        <v>77.93</v>
      </c>
      <c r="O883" s="116"/>
      <c r="P883" s="116" t="s">
        <v>80</v>
      </c>
      <c r="Q883" s="117"/>
      <c r="R883" s="118"/>
      <c r="S883" s="117"/>
      <c r="T883" s="116"/>
      <c r="V883" s="15"/>
    </row>
    <row r="884" spans="1:22" s="114" customFormat="1" ht="15">
      <c r="A884" s="12" t="s">
        <v>80</v>
      </c>
      <c r="B884" s="65">
        <v>42047.271527777775</v>
      </c>
      <c r="C884" s="14">
        <v>64.65</v>
      </c>
      <c r="D884" s="15">
        <v>100</v>
      </c>
      <c r="E884" s="15">
        <f t="shared" si="146"/>
        <v>6476.000000000001</v>
      </c>
      <c r="F884" s="13"/>
      <c r="G884" s="14">
        <v>111.58</v>
      </c>
      <c r="H884" s="15">
        <f t="shared" si="147"/>
        <v>11158</v>
      </c>
      <c r="I884" s="16">
        <f t="shared" si="148"/>
        <v>4681.999999999999</v>
      </c>
      <c r="J884" s="19">
        <f t="shared" si="149"/>
        <v>0.7229771463866582</v>
      </c>
      <c r="K884" s="95" t="s">
        <v>132</v>
      </c>
      <c r="L884" s="140" t="s">
        <v>51</v>
      </c>
      <c r="M884" s="41">
        <f t="shared" si="150"/>
        <v>60.12450000000001</v>
      </c>
      <c r="N884" s="118">
        <v>77.93</v>
      </c>
      <c r="O884" s="116"/>
      <c r="P884" s="116" t="s">
        <v>80</v>
      </c>
      <c r="Q884" s="117"/>
      <c r="R884" s="118"/>
      <c r="S884" s="117"/>
      <c r="T884" s="116"/>
      <c r="V884" s="15"/>
    </row>
    <row r="885" spans="1:22" s="114" customFormat="1" ht="15">
      <c r="A885" s="12" t="s">
        <v>80</v>
      </c>
      <c r="B885" s="65">
        <v>42081.34097222222</v>
      </c>
      <c r="C885" s="14">
        <v>70</v>
      </c>
      <c r="D885" s="15">
        <v>120</v>
      </c>
      <c r="E885" s="15">
        <f t="shared" si="146"/>
        <v>8411</v>
      </c>
      <c r="F885" s="13"/>
      <c r="G885" s="14">
        <v>111.58</v>
      </c>
      <c r="H885" s="15">
        <f t="shared" si="147"/>
        <v>13389.6</v>
      </c>
      <c r="I885" s="16">
        <f t="shared" si="148"/>
        <v>4978.6</v>
      </c>
      <c r="J885" s="19">
        <f t="shared" si="149"/>
        <v>0.5919153489478065</v>
      </c>
      <c r="K885" s="95" t="s">
        <v>181</v>
      </c>
      <c r="L885" s="140" t="s">
        <v>51</v>
      </c>
      <c r="M885" s="41">
        <f t="shared" si="150"/>
        <v>65.10000000000001</v>
      </c>
      <c r="N885" s="118">
        <v>77.93</v>
      </c>
      <c r="O885" s="116"/>
      <c r="P885" s="116" t="s">
        <v>80</v>
      </c>
      <c r="Q885" s="117"/>
      <c r="R885" s="118"/>
      <c r="S885" s="117"/>
      <c r="T885" s="116"/>
      <c r="V885" s="15"/>
    </row>
    <row r="886" spans="1:22" s="114" customFormat="1" ht="15">
      <c r="A886" s="12" t="s">
        <v>80</v>
      </c>
      <c r="B886" s="65">
        <v>42117.55694444444</v>
      </c>
      <c r="C886" s="14">
        <v>77.75</v>
      </c>
      <c r="D886" s="15">
        <v>150</v>
      </c>
      <c r="E886" s="15">
        <f t="shared" si="146"/>
        <v>11673.5</v>
      </c>
      <c r="F886" s="13"/>
      <c r="G886" s="14">
        <v>111.58</v>
      </c>
      <c r="H886" s="15">
        <f t="shared" si="147"/>
        <v>16737</v>
      </c>
      <c r="I886" s="16">
        <f t="shared" si="148"/>
        <v>5063.5</v>
      </c>
      <c r="J886" s="19">
        <f t="shared" si="149"/>
        <v>0.4337602261532531</v>
      </c>
      <c r="K886" s="95" t="s">
        <v>233</v>
      </c>
      <c r="L886" s="140" t="s">
        <v>51</v>
      </c>
      <c r="M886" s="41">
        <f t="shared" si="150"/>
        <v>72.3075</v>
      </c>
      <c r="N886" s="118">
        <v>77.93</v>
      </c>
      <c r="O886" s="116"/>
      <c r="P886" s="116" t="s">
        <v>80</v>
      </c>
      <c r="Q886" s="117"/>
      <c r="R886" s="118"/>
      <c r="S886" s="117"/>
      <c r="T886" s="116"/>
      <c r="V886" s="15"/>
    </row>
    <row r="887" spans="1:23" s="114" customFormat="1" ht="15">
      <c r="A887" s="12" t="s">
        <v>80</v>
      </c>
      <c r="B887" s="65">
        <v>42128.525</v>
      </c>
      <c r="C887" s="14">
        <v>93.09</v>
      </c>
      <c r="D887" s="15">
        <v>180</v>
      </c>
      <c r="E887" s="15">
        <f t="shared" si="146"/>
        <v>16767.2</v>
      </c>
      <c r="F887" s="13"/>
      <c r="G887" s="14">
        <v>111.58</v>
      </c>
      <c r="H887" s="15">
        <f t="shared" si="147"/>
        <v>20084.4</v>
      </c>
      <c r="I887" s="16">
        <f t="shared" si="148"/>
        <v>3317.2000000000007</v>
      </c>
      <c r="J887" s="19">
        <f t="shared" si="149"/>
        <v>0.19783863733956777</v>
      </c>
      <c r="K887" s="95" t="s">
        <v>244</v>
      </c>
      <c r="L887" s="140" t="s">
        <v>51</v>
      </c>
      <c r="M887" s="41">
        <f t="shared" si="150"/>
        <v>86.5737</v>
      </c>
      <c r="N887" s="118">
        <v>77.93</v>
      </c>
      <c r="O887" s="116"/>
      <c r="P887" s="116" t="s">
        <v>80</v>
      </c>
      <c r="Q887" s="117"/>
      <c r="R887" s="118"/>
      <c r="S887" s="117"/>
      <c r="T887" s="116"/>
      <c r="V887" s="15"/>
      <c r="W887" s="29"/>
    </row>
    <row r="888" spans="1:22" s="114" customFormat="1" ht="15">
      <c r="A888" s="12" t="s">
        <v>61</v>
      </c>
      <c r="B888" s="65">
        <v>42040.27847222222</v>
      </c>
      <c r="C888" s="14">
        <v>132.85</v>
      </c>
      <c r="D888" s="15">
        <v>110</v>
      </c>
      <c r="E888" s="15">
        <f t="shared" si="146"/>
        <v>14624.5</v>
      </c>
      <c r="F888" s="65"/>
      <c r="G888" s="14">
        <v>154.73</v>
      </c>
      <c r="H888" s="15">
        <f t="shared" si="147"/>
        <v>17020.3</v>
      </c>
      <c r="I888" s="16">
        <f t="shared" si="148"/>
        <v>2395.7999999999993</v>
      </c>
      <c r="J888" s="19">
        <f t="shared" si="149"/>
        <v>0.16382098533283185</v>
      </c>
      <c r="K888" s="95" t="s">
        <v>134</v>
      </c>
      <c r="L888" s="119">
        <v>136.67</v>
      </c>
      <c r="M888" s="41">
        <f t="shared" si="150"/>
        <v>123.5505</v>
      </c>
      <c r="N888" s="118">
        <v>168.13</v>
      </c>
      <c r="O888" s="121">
        <v>42086</v>
      </c>
      <c r="P888" s="116" t="s">
        <v>61</v>
      </c>
      <c r="Q888" s="117">
        <v>159.85</v>
      </c>
      <c r="R888" s="118">
        <f>Q888*0.855</f>
        <v>136.67175</v>
      </c>
      <c r="S888" s="117">
        <f>1.11*C888</f>
        <v>147.4635</v>
      </c>
      <c r="T888" s="116"/>
      <c r="U888" s="117"/>
      <c r="V888" s="15"/>
    </row>
    <row r="889" spans="1:22" s="114" customFormat="1" ht="15">
      <c r="A889" s="12" t="s">
        <v>61</v>
      </c>
      <c r="B889" s="65">
        <v>42045.27291666667</v>
      </c>
      <c r="C889" s="14">
        <v>135.9</v>
      </c>
      <c r="D889" s="15">
        <v>65</v>
      </c>
      <c r="E889" s="15">
        <f t="shared" si="146"/>
        <v>8844.5</v>
      </c>
      <c r="F889" s="13"/>
      <c r="G889" s="14">
        <v>154.73</v>
      </c>
      <c r="H889" s="15">
        <f t="shared" si="147"/>
        <v>10057.449999999999</v>
      </c>
      <c r="I889" s="16">
        <f t="shared" si="148"/>
        <v>1212.949999999999</v>
      </c>
      <c r="J889" s="19">
        <f t="shared" si="149"/>
        <v>0.13714172649669273</v>
      </c>
      <c r="K889" s="95" t="s">
        <v>141</v>
      </c>
      <c r="L889" s="119">
        <v>136.67</v>
      </c>
      <c r="M889" s="41">
        <f t="shared" si="150"/>
        <v>126.38700000000001</v>
      </c>
      <c r="N889" s="118">
        <v>168.13</v>
      </c>
      <c r="O889" s="116"/>
      <c r="P889" s="116" t="s">
        <v>61</v>
      </c>
      <c r="Q889" s="117"/>
      <c r="R889" s="118"/>
      <c r="S889" s="117"/>
      <c r="T889" s="116"/>
      <c r="V889" s="15"/>
    </row>
    <row r="890" spans="1:22" s="114" customFormat="1" ht="15">
      <c r="A890" s="12" t="s">
        <v>61</v>
      </c>
      <c r="B890" s="65">
        <v>42054.277083333334</v>
      </c>
      <c r="C890" s="14">
        <v>139.17</v>
      </c>
      <c r="D890" s="15">
        <v>40</v>
      </c>
      <c r="E890" s="15">
        <f t="shared" si="146"/>
        <v>5577.799999999999</v>
      </c>
      <c r="F890" s="13"/>
      <c r="G890" s="14">
        <v>154.73</v>
      </c>
      <c r="H890" s="15">
        <f t="shared" si="147"/>
        <v>6189.2</v>
      </c>
      <c r="I890" s="16">
        <f t="shared" si="148"/>
        <v>611.4000000000005</v>
      </c>
      <c r="J890" s="19">
        <f t="shared" si="149"/>
        <v>0.1096131091111192</v>
      </c>
      <c r="K890" s="95" t="s">
        <v>140</v>
      </c>
      <c r="L890" s="119">
        <v>136.67</v>
      </c>
      <c r="M890" s="41">
        <f t="shared" si="150"/>
        <v>129.4281</v>
      </c>
      <c r="N890" s="118">
        <v>168.13</v>
      </c>
      <c r="O890" s="116"/>
      <c r="P890" s="116" t="s">
        <v>61</v>
      </c>
      <c r="Q890" s="117"/>
      <c r="R890" s="118"/>
      <c r="S890" s="117"/>
      <c r="T890" s="116"/>
      <c r="V890" s="15"/>
    </row>
    <row r="891" spans="1:22" s="114" customFormat="1" ht="15">
      <c r="A891" s="12" t="s">
        <v>61</v>
      </c>
      <c r="B891" s="65">
        <v>42075.56458333333</v>
      </c>
      <c r="C891" s="14">
        <v>154</v>
      </c>
      <c r="D891" s="15">
        <v>40</v>
      </c>
      <c r="E891" s="15">
        <f t="shared" si="146"/>
        <v>6171</v>
      </c>
      <c r="F891" s="13"/>
      <c r="G891" s="14">
        <v>154.73</v>
      </c>
      <c r="H891" s="15">
        <f t="shared" si="147"/>
        <v>6189.2</v>
      </c>
      <c r="I891" s="16">
        <f t="shared" si="148"/>
        <v>18.199999999999818</v>
      </c>
      <c r="J891" s="19">
        <f t="shared" si="149"/>
        <v>0.002949278885107733</v>
      </c>
      <c r="K891" s="95" t="s">
        <v>160</v>
      </c>
      <c r="L891" s="119"/>
      <c r="M891" s="20">
        <f t="shared" si="150"/>
        <v>143.22</v>
      </c>
      <c r="N891" s="118">
        <v>168.13</v>
      </c>
      <c r="O891" s="116"/>
      <c r="P891" s="116" t="s">
        <v>61</v>
      </c>
      <c r="Q891" s="117"/>
      <c r="R891" s="118"/>
      <c r="S891" s="117"/>
      <c r="T891" s="116"/>
      <c r="V891" s="15"/>
    </row>
    <row r="892" spans="1:23" s="114" customFormat="1" ht="15">
      <c r="A892" s="12" t="s">
        <v>61</v>
      </c>
      <c r="B892" s="65">
        <v>42109.27222222222</v>
      </c>
      <c r="C892" s="14">
        <v>156.13</v>
      </c>
      <c r="D892" s="15">
        <v>50</v>
      </c>
      <c r="E892" s="15">
        <f t="shared" si="146"/>
        <v>7817.5</v>
      </c>
      <c r="F892" s="13"/>
      <c r="G892" s="14">
        <v>154.73</v>
      </c>
      <c r="H892" s="15">
        <f t="shared" si="147"/>
        <v>7736.499999999999</v>
      </c>
      <c r="I892" s="16">
        <f t="shared" si="148"/>
        <v>-81.00000000000091</v>
      </c>
      <c r="J892" s="19">
        <f t="shared" si="149"/>
        <v>-0.010361368724016745</v>
      </c>
      <c r="K892" s="95" t="s">
        <v>221</v>
      </c>
      <c r="L892" s="119"/>
      <c r="M892" s="20">
        <f t="shared" si="150"/>
        <v>145.2009</v>
      </c>
      <c r="N892" s="118">
        <v>168.13</v>
      </c>
      <c r="O892" s="116"/>
      <c r="P892" s="116" t="s">
        <v>61</v>
      </c>
      <c r="Q892" s="117"/>
      <c r="R892" s="118"/>
      <c r="S892" s="117"/>
      <c r="T892" s="116"/>
      <c r="V892" s="15"/>
      <c r="W892" s="29"/>
    </row>
    <row r="893" spans="1:22" s="114" customFormat="1" ht="15">
      <c r="A893" s="12" t="s">
        <v>52</v>
      </c>
      <c r="B893" s="65">
        <v>42046.27361111111</v>
      </c>
      <c r="C893" s="14">
        <v>129.75</v>
      </c>
      <c r="D893" s="15">
        <v>80</v>
      </c>
      <c r="E893" s="15">
        <f t="shared" si="146"/>
        <v>10391</v>
      </c>
      <c r="F893" s="65"/>
      <c r="G893" s="14">
        <v>184.08</v>
      </c>
      <c r="H893" s="15">
        <f t="shared" si="147"/>
        <v>14726.400000000001</v>
      </c>
      <c r="I893" s="16">
        <f t="shared" si="148"/>
        <v>4335.4000000000015</v>
      </c>
      <c r="J893" s="19">
        <f t="shared" si="149"/>
        <v>0.41722644596285263</v>
      </c>
      <c r="K893" s="95" t="s">
        <v>135</v>
      </c>
      <c r="L893" s="140" t="s">
        <v>252</v>
      </c>
      <c r="M893" s="41">
        <f t="shared" si="150"/>
        <v>120.6675</v>
      </c>
      <c r="N893" s="118">
        <v>161.78</v>
      </c>
      <c r="O893" s="121">
        <f>WORKDAY(B893,40,'Weekly Summary'!P$2:P$10)</f>
        <v>42104</v>
      </c>
      <c r="P893" s="116" t="s">
        <v>52</v>
      </c>
      <c r="Q893" s="117">
        <v>184.8</v>
      </c>
      <c r="R893" s="118">
        <f>Q893*0.855</f>
        <v>158.00400000000002</v>
      </c>
      <c r="S893" s="117">
        <f>1.11*C893</f>
        <v>144.0225</v>
      </c>
      <c r="T893" s="116"/>
      <c r="U893" s="117"/>
      <c r="V893" s="15"/>
    </row>
    <row r="894" spans="1:22" s="114" customFormat="1" ht="15">
      <c r="A894" s="12" t="s">
        <v>52</v>
      </c>
      <c r="B894" s="65">
        <v>42047.275</v>
      </c>
      <c r="C894" s="14">
        <v>133.95</v>
      </c>
      <c r="D894" s="15">
        <v>45</v>
      </c>
      <c r="E894" s="15">
        <f t="shared" si="146"/>
        <v>6038.749999999999</v>
      </c>
      <c r="F894" s="13"/>
      <c r="G894" s="14">
        <v>184.08</v>
      </c>
      <c r="H894" s="15">
        <f t="shared" si="147"/>
        <v>8283.6</v>
      </c>
      <c r="I894" s="16">
        <f t="shared" si="148"/>
        <v>2244.8500000000013</v>
      </c>
      <c r="J894" s="19">
        <f t="shared" si="149"/>
        <v>0.37174084040571337</v>
      </c>
      <c r="K894" s="95" t="s">
        <v>136</v>
      </c>
      <c r="L894" s="140" t="s">
        <v>252</v>
      </c>
      <c r="M894" s="41">
        <f t="shared" si="150"/>
        <v>124.5735</v>
      </c>
      <c r="N894" s="118">
        <v>161.78</v>
      </c>
      <c r="O894" s="116"/>
      <c r="P894" s="116" t="s">
        <v>52</v>
      </c>
      <c r="Q894" s="117"/>
      <c r="R894" s="118"/>
      <c r="S894" s="117"/>
      <c r="T894" s="116"/>
      <c r="V894" s="15"/>
    </row>
    <row r="895" spans="1:22" s="114" customFormat="1" ht="15">
      <c r="A895" s="12" t="s">
        <v>52</v>
      </c>
      <c r="B895" s="65">
        <v>42048.450694444444</v>
      </c>
      <c r="C895" s="14">
        <v>135.8</v>
      </c>
      <c r="D895" s="15">
        <v>30</v>
      </c>
      <c r="E895" s="15">
        <f t="shared" si="146"/>
        <v>4085.0000000000005</v>
      </c>
      <c r="F895" s="13"/>
      <c r="G895" s="14">
        <v>184.08</v>
      </c>
      <c r="H895" s="15">
        <f t="shared" si="147"/>
        <v>5522.400000000001</v>
      </c>
      <c r="I895" s="16">
        <f t="shared" si="148"/>
        <v>1437.4</v>
      </c>
      <c r="J895" s="19">
        <f t="shared" si="149"/>
        <v>0.3518727050183598</v>
      </c>
      <c r="K895" s="95" t="s">
        <v>143</v>
      </c>
      <c r="L895" s="140" t="s">
        <v>252</v>
      </c>
      <c r="M895" s="41">
        <f t="shared" si="150"/>
        <v>126.29400000000001</v>
      </c>
      <c r="N895" s="118">
        <v>161.78</v>
      </c>
      <c r="O895" s="116"/>
      <c r="P895" s="116" t="s">
        <v>52</v>
      </c>
      <c r="Q895" s="117"/>
      <c r="R895" s="118"/>
      <c r="S895" s="117"/>
      <c r="T895" s="116"/>
      <c r="V895" s="15"/>
    </row>
    <row r="896" spans="1:22" s="114" customFormat="1" ht="15">
      <c r="A896" s="12" t="s">
        <v>52</v>
      </c>
      <c r="B896" s="65">
        <v>42074.29027777778</v>
      </c>
      <c r="C896" s="14">
        <v>140.55</v>
      </c>
      <c r="D896" s="15">
        <v>30</v>
      </c>
      <c r="E896" s="15">
        <f t="shared" si="146"/>
        <v>4227.5</v>
      </c>
      <c r="F896" s="13"/>
      <c r="G896" s="14">
        <v>184.08</v>
      </c>
      <c r="H896" s="15">
        <f t="shared" si="147"/>
        <v>5522.400000000001</v>
      </c>
      <c r="I896" s="16">
        <f t="shared" si="148"/>
        <v>1294.9000000000005</v>
      </c>
      <c r="J896" s="19">
        <f t="shared" si="149"/>
        <v>0.30630396215257255</v>
      </c>
      <c r="K896" s="95" t="s">
        <v>182</v>
      </c>
      <c r="L896" s="140" t="s">
        <v>252</v>
      </c>
      <c r="M896" s="41">
        <f t="shared" si="150"/>
        <v>130.71150000000003</v>
      </c>
      <c r="N896" s="118">
        <v>161.78</v>
      </c>
      <c r="O896" s="116"/>
      <c r="P896" s="116" t="s">
        <v>52</v>
      </c>
      <c r="Q896" s="117"/>
      <c r="R896" s="118"/>
      <c r="S896" s="117"/>
      <c r="T896" s="116"/>
      <c r="V896" s="15"/>
    </row>
    <row r="897" spans="1:23" s="114" customFormat="1" ht="15">
      <c r="A897" s="12" t="s">
        <v>52</v>
      </c>
      <c r="B897" s="65">
        <v>42093.27638888889</v>
      </c>
      <c r="C897" s="14">
        <v>149.29</v>
      </c>
      <c r="D897" s="15">
        <v>40</v>
      </c>
      <c r="E897" s="15">
        <f t="shared" si="146"/>
        <v>5982.599999999999</v>
      </c>
      <c r="F897" s="13"/>
      <c r="G897" s="14">
        <v>184.08</v>
      </c>
      <c r="H897" s="15">
        <f t="shared" si="147"/>
        <v>7363.200000000001</v>
      </c>
      <c r="I897" s="16">
        <f t="shared" si="148"/>
        <v>1380.6000000000013</v>
      </c>
      <c r="J897" s="19">
        <f t="shared" si="149"/>
        <v>0.230769230769231</v>
      </c>
      <c r="K897" s="95" t="s">
        <v>213</v>
      </c>
      <c r="L897" s="140" t="s">
        <v>252</v>
      </c>
      <c r="M897" s="41">
        <f t="shared" si="150"/>
        <v>138.8397</v>
      </c>
      <c r="N897" s="118">
        <v>161.78</v>
      </c>
      <c r="O897" s="116"/>
      <c r="P897" s="116" t="s">
        <v>52</v>
      </c>
      <c r="Q897" s="117"/>
      <c r="R897" s="118"/>
      <c r="S897" s="117"/>
      <c r="T897" s="116"/>
      <c r="V897" s="15"/>
      <c r="W897" s="29"/>
    </row>
    <row r="898" spans="1:24" s="114" customFormat="1" ht="15">
      <c r="A898" s="12" t="s">
        <v>52</v>
      </c>
      <c r="B898" s="65">
        <v>42142.46666666667</v>
      </c>
      <c r="C898" s="14">
        <v>158</v>
      </c>
      <c r="D898" s="15">
        <v>45</v>
      </c>
      <c r="E898" s="15">
        <f t="shared" si="146"/>
        <v>7121</v>
      </c>
      <c r="F898" s="13"/>
      <c r="G898" s="14">
        <v>184.08</v>
      </c>
      <c r="H898" s="15">
        <f t="shared" si="147"/>
        <v>8283.6</v>
      </c>
      <c r="I898" s="16">
        <f t="shared" si="148"/>
        <v>1162.6000000000004</v>
      </c>
      <c r="J898" s="19">
        <f t="shared" si="149"/>
        <v>0.1632635865749193</v>
      </c>
      <c r="K898" s="95" t="s">
        <v>246</v>
      </c>
      <c r="L898" s="140" t="s">
        <v>252</v>
      </c>
      <c r="M898" s="41">
        <f t="shared" si="150"/>
        <v>146.94</v>
      </c>
      <c r="N898" s="118">
        <v>161.78</v>
      </c>
      <c r="O898" s="116"/>
      <c r="P898" s="116" t="s">
        <v>52</v>
      </c>
      <c r="Q898" s="117"/>
      <c r="R898" s="118"/>
      <c r="S898" s="117"/>
      <c r="T898" s="116"/>
      <c r="V898" s="15"/>
      <c r="W898" s="29"/>
      <c r="X898" s="29"/>
    </row>
    <row r="899" spans="1:24" s="114" customFormat="1" ht="15">
      <c r="A899" s="12" t="s">
        <v>52</v>
      </c>
      <c r="B899" s="65">
        <v>42152.50625</v>
      </c>
      <c r="C899" s="14">
        <v>168</v>
      </c>
      <c r="D899" s="15">
        <v>55</v>
      </c>
      <c r="E899" s="15">
        <f t="shared" si="146"/>
        <v>9251</v>
      </c>
      <c r="F899" s="13"/>
      <c r="G899" s="14">
        <v>184.08</v>
      </c>
      <c r="H899" s="15">
        <f t="shared" si="147"/>
        <v>10124.400000000001</v>
      </c>
      <c r="I899" s="16">
        <f t="shared" si="148"/>
        <v>873.4000000000015</v>
      </c>
      <c r="J899" s="19">
        <f t="shared" si="149"/>
        <v>0.09441141498216425</v>
      </c>
      <c r="K899" s="95" t="s">
        <v>244</v>
      </c>
      <c r="L899" s="140" t="s">
        <v>252</v>
      </c>
      <c r="M899" s="41">
        <f t="shared" si="150"/>
        <v>156.24</v>
      </c>
      <c r="N899" s="118">
        <v>161.78</v>
      </c>
      <c r="O899" s="116"/>
      <c r="P899" s="116" t="s">
        <v>52</v>
      </c>
      <c r="Q899" s="117"/>
      <c r="R899" s="118"/>
      <c r="S899" s="117"/>
      <c r="T899" s="116"/>
      <c r="V899" s="15"/>
      <c r="W899" s="29"/>
      <c r="X899" s="29"/>
    </row>
    <row r="900" spans="1:22" s="114" customFormat="1" ht="15">
      <c r="A900" s="12" t="s">
        <v>169</v>
      </c>
      <c r="B900" s="65">
        <v>42076.538194444445</v>
      </c>
      <c r="C900" s="14">
        <v>56.64</v>
      </c>
      <c r="D900" s="15">
        <v>320</v>
      </c>
      <c r="E900" s="15">
        <f t="shared" si="146"/>
        <v>18135.8</v>
      </c>
      <c r="F900" s="13"/>
      <c r="G900" s="14">
        <v>63.08</v>
      </c>
      <c r="H900" s="15">
        <f t="shared" si="147"/>
        <v>20185.6</v>
      </c>
      <c r="I900" s="16">
        <f t="shared" si="148"/>
        <v>2049.7999999999993</v>
      </c>
      <c r="J900" s="19">
        <f t="shared" si="149"/>
        <v>0.11302506644316762</v>
      </c>
      <c r="K900" s="95" t="s">
        <v>170</v>
      </c>
      <c r="L900" s="119">
        <v>54.12</v>
      </c>
      <c r="M900" s="41">
        <f t="shared" si="150"/>
        <v>52.675200000000004</v>
      </c>
      <c r="N900" s="118">
        <v>71.25</v>
      </c>
      <c r="O900" s="121">
        <v>42132</v>
      </c>
      <c r="P900" s="116" t="s">
        <v>169</v>
      </c>
      <c r="Q900" s="117">
        <v>63.3</v>
      </c>
      <c r="R900" s="118">
        <f>Q900*0.855</f>
        <v>54.1215</v>
      </c>
      <c r="S900" s="117">
        <f>1.11*C900</f>
        <v>62.870400000000004</v>
      </c>
      <c r="T900" s="116"/>
      <c r="U900" s="117"/>
      <c r="V900" s="15"/>
    </row>
    <row r="901" spans="1:22" s="114" customFormat="1" ht="15">
      <c r="A901" s="12" t="s">
        <v>169</v>
      </c>
      <c r="B901" s="65">
        <v>42082.302777777775</v>
      </c>
      <c r="C901" s="14">
        <v>57.9</v>
      </c>
      <c r="D901" s="15">
        <v>190</v>
      </c>
      <c r="E901" s="15">
        <f t="shared" si="146"/>
        <v>11012</v>
      </c>
      <c r="F901" s="13"/>
      <c r="G901" s="14">
        <v>63.08</v>
      </c>
      <c r="H901" s="15">
        <f t="shared" si="147"/>
        <v>11985.199999999999</v>
      </c>
      <c r="I901" s="16">
        <f t="shared" si="148"/>
        <v>973.1999999999989</v>
      </c>
      <c r="J901" s="19">
        <f t="shared" si="149"/>
        <v>0.08837631674536858</v>
      </c>
      <c r="K901" s="95" t="s">
        <v>217</v>
      </c>
      <c r="L901" s="119">
        <v>54.12</v>
      </c>
      <c r="M901" s="41">
        <f t="shared" si="150"/>
        <v>53.847</v>
      </c>
      <c r="N901" s="118">
        <v>71.25</v>
      </c>
      <c r="O901" s="116"/>
      <c r="P901" s="116" t="s">
        <v>169</v>
      </c>
      <c r="Q901" s="117"/>
      <c r="R901" s="118"/>
      <c r="S901" s="117"/>
      <c r="T901" s="116"/>
      <c r="V901" s="15"/>
    </row>
    <row r="902" spans="1:23" s="114" customFormat="1" ht="15">
      <c r="A902" s="12" t="s">
        <v>169</v>
      </c>
      <c r="B902" s="65">
        <v>42103.433333333334</v>
      </c>
      <c r="C902" s="14">
        <v>59.27</v>
      </c>
      <c r="D902" s="15">
        <v>125</v>
      </c>
      <c r="E902" s="15">
        <f t="shared" si="146"/>
        <v>7419.75</v>
      </c>
      <c r="F902" s="13"/>
      <c r="G902" s="14">
        <v>63.08</v>
      </c>
      <c r="H902" s="15">
        <f t="shared" si="147"/>
        <v>7885</v>
      </c>
      <c r="I902" s="16">
        <f t="shared" si="148"/>
        <v>465.25</v>
      </c>
      <c r="J902" s="19">
        <f t="shared" si="149"/>
        <v>0.06270426901175916</v>
      </c>
      <c r="K902" s="95" t="s">
        <v>216</v>
      </c>
      <c r="L902" s="119"/>
      <c r="M902" s="20">
        <f t="shared" si="150"/>
        <v>55.121100000000006</v>
      </c>
      <c r="N902" s="118">
        <v>71.25</v>
      </c>
      <c r="O902" s="116"/>
      <c r="P902" s="116" t="s">
        <v>169</v>
      </c>
      <c r="Q902" s="117"/>
      <c r="R902" s="118"/>
      <c r="S902" s="117"/>
      <c r="T902" s="116"/>
      <c r="V902" s="15"/>
      <c r="W902" s="29"/>
    </row>
    <row r="903" spans="1:23" s="114" customFormat="1" ht="15">
      <c r="A903" s="85" t="s">
        <v>169</v>
      </c>
      <c r="B903" s="65">
        <v>42173.30486111111</v>
      </c>
      <c r="C903" s="14">
        <v>62.25</v>
      </c>
      <c r="D903" s="15">
        <v>65</v>
      </c>
      <c r="E903" s="15">
        <f t="shared" si="146"/>
        <v>4057.25</v>
      </c>
      <c r="F903" s="13"/>
      <c r="G903" s="14">
        <v>63.08</v>
      </c>
      <c r="H903" s="15">
        <f t="shared" si="147"/>
        <v>4100.2</v>
      </c>
      <c r="I903" s="16">
        <f t="shared" si="148"/>
        <v>42.94999999999982</v>
      </c>
      <c r="J903" s="19">
        <f t="shared" si="149"/>
        <v>0.010585988046090287</v>
      </c>
      <c r="K903" s="95" t="s">
        <v>270</v>
      </c>
      <c r="L903" s="119"/>
      <c r="M903" s="20">
        <f t="shared" si="150"/>
        <v>57.892500000000005</v>
      </c>
      <c r="N903" s="118">
        <v>71.25</v>
      </c>
      <c r="O903" s="116"/>
      <c r="P903" s="116" t="s">
        <v>169</v>
      </c>
      <c r="Q903" s="117"/>
      <c r="R903" s="118"/>
      <c r="S903" s="117"/>
      <c r="T903" s="116"/>
      <c r="V903" s="15"/>
      <c r="W903" s="29"/>
    </row>
    <row r="904" spans="1:22" s="114" customFormat="1" ht="15">
      <c r="A904" s="12" t="s">
        <v>208</v>
      </c>
      <c r="B904" s="65">
        <v>42090.308333333334</v>
      </c>
      <c r="C904" s="14">
        <v>214</v>
      </c>
      <c r="D904" s="15">
        <v>95</v>
      </c>
      <c r="E904" s="15">
        <f t="shared" si="146"/>
        <v>20341</v>
      </c>
      <c r="F904" s="13"/>
      <c r="G904" s="14">
        <v>229.45</v>
      </c>
      <c r="H904" s="15">
        <f t="shared" si="147"/>
        <v>21797.75</v>
      </c>
      <c r="I904" s="16">
        <f t="shared" si="148"/>
        <v>1456.75</v>
      </c>
      <c r="J904" s="19">
        <f t="shared" si="149"/>
        <v>0.07161643970306278</v>
      </c>
      <c r="K904" s="95" t="s">
        <v>212</v>
      </c>
      <c r="L904" s="119"/>
      <c r="M904" s="20">
        <f t="shared" si="150"/>
        <v>199.02</v>
      </c>
      <c r="N904" s="118">
        <v>267.7</v>
      </c>
      <c r="O904" s="121">
        <v>42136</v>
      </c>
      <c r="P904" s="116" t="s">
        <v>208</v>
      </c>
      <c r="Q904" s="117">
        <v>231.38</v>
      </c>
      <c r="R904" s="118">
        <f>Q904*0.855</f>
        <v>197.82989999999998</v>
      </c>
      <c r="S904" s="117">
        <f>1.11*C904</f>
        <v>237.54000000000002</v>
      </c>
      <c r="T904" s="116"/>
      <c r="U904" s="117"/>
      <c r="V904" s="15"/>
    </row>
    <row r="905" spans="1:22" s="114" customFormat="1" ht="15">
      <c r="A905" s="12" t="s">
        <v>208</v>
      </c>
      <c r="B905" s="65">
        <v>42093.29305555556</v>
      </c>
      <c r="C905" s="14">
        <v>219.41</v>
      </c>
      <c r="D905" s="15">
        <v>55</v>
      </c>
      <c r="E905" s="15">
        <f t="shared" si="146"/>
        <v>12078.55</v>
      </c>
      <c r="F905" s="13"/>
      <c r="G905" s="14">
        <v>229.45</v>
      </c>
      <c r="H905" s="15">
        <f t="shared" si="147"/>
        <v>12619.75</v>
      </c>
      <c r="I905" s="16">
        <f t="shared" si="148"/>
        <v>541.2000000000007</v>
      </c>
      <c r="J905" s="19">
        <f t="shared" si="149"/>
        <v>0.044806702791311936</v>
      </c>
      <c r="K905" s="95" t="s">
        <v>211</v>
      </c>
      <c r="L905" s="119"/>
      <c r="M905" s="20">
        <f t="shared" si="150"/>
        <v>204.0513</v>
      </c>
      <c r="N905" s="118">
        <v>267.7</v>
      </c>
      <c r="O905" s="116"/>
      <c r="P905" s="116" t="s">
        <v>208</v>
      </c>
      <c r="Q905" s="117"/>
      <c r="R905" s="118"/>
      <c r="S905" s="117"/>
      <c r="T905" s="116"/>
      <c r="V905" s="15"/>
    </row>
    <row r="906" spans="1:23" s="114" customFormat="1" ht="15">
      <c r="A906" s="12" t="s">
        <v>208</v>
      </c>
      <c r="B906" s="65">
        <v>42117.27569444444</v>
      </c>
      <c r="C906" s="14">
        <v>226.35</v>
      </c>
      <c r="D906" s="15">
        <v>35</v>
      </c>
      <c r="E906" s="15">
        <f t="shared" si="146"/>
        <v>7933.25</v>
      </c>
      <c r="F906" s="13"/>
      <c r="G906" s="14">
        <v>229.45</v>
      </c>
      <c r="H906" s="15">
        <f t="shared" si="147"/>
        <v>8030.75</v>
      </c>
      <c r="I906" s="16">
        <f t="shared" si="148"/>
        <v>97.5</v>
      </c>
      <c r="J906" s="19">
        <f t="shared" si="149"/>
        <v>0.012290045063498567</v>
      </c>
      <c r="K906" s="95" t="s">
        <v>236</v>
      </c>
      <c r="L906" s="119"/>
      <c r="M906" s="20">
        <f t="shared" si="150"/>
        <v>210.5055</v>
      </c>
      <c r="N906" s="118">
        <v>267.7</v>
      </c>
      <c r="O906" s="116"/>
      <c r="P906" s="116" t="s">
        <v>208</v>
      </c>
      <c r="Q906" s="117"/>
      <c r="R906" s="118"/>
      <c r="S906" s="117"/>
      <c r="T906" s="116"/>
      <c r="V906" s="15"/>
      <c r="W906" s="29"/>
    </row>
    <row r="907" spans="1:23" s="114" customFormat="1" ht="15">
      <c r="A907" s="12" t="s">
        <v>66</v>
      </c>
      <c r="B907" s="65">
        <v>42156.31875</v>
      </c>
      <c r="C907" s="14">
        <v>41</v>
      </c>
      <c r="D907" s="15">
        <v>1900</v>
      </c>
      <c r="E907" s="15">
        <f t="shared" si="146"/>
        <v>77911</v>
      </c>
      <c r="F907" s="13"/>
      <c r="G907" s="14">
        <v>44.77</v>
      </c>
      <c r="H907" s="15">
        <f t="shared" si="147"/>
        <v>85063</v>
      </c>
      <c r="I907" s="16">
        <f t="shared" si="148"/>
        <v>7152</v>
      </c>
      <c r="J907" s="19">
        <f t="shared" si="149"/>
        <v>0.09179705048067667</v>
      </c>
      <c r="K907" s="95" t="s">
        <v>256</v>
      </c>
      <c r="L907" s="119">
        <v>39.32</v>
      </c>
      <c r="M907" s="41">
        <f t="shared" si="150"/>
        <v>38.13</v>
      </c>
      <c r="N907" s="118">
        <v>52.13</v>
      </c>
      <c r="O907" s="116"/>
      <c r="P907" s="116" t="s">
        <v>66</v>
      </c>
      <c r="Q907" s="117">
        <v>45.99</v>
      </c>
      <c r="R907" s="118">
        <f>Q907*0.855</f>
        <v>39.32145</v>
      </c>
      <c r="S907" s="117">
        <f>1.11*C907</f>
        <v>45.510000000000005</v>
      </c>
      <c r="T907" s="116"/>
      <c r="V907" s="15"/>
      <c r="W907" s="29"/>
    </row>
    <row r="908" spans="1:23" s="114" customFormat="1" ht="15">
      <c r="A908" s="12" t="s">
        <v>66</v>
      </c>
      <c r="B908" s="65">
        <v>42158.308333333334</v>
      </c>
      <c r="C908" s="14">
        <v>42.1</v>
      </c>
      <c r="D908" s="15">
        <v>1100</v>
      </c>
      <c r="E908" s="15">
        <f t="shared" si="146"/>
        <v>46321</v>
      </c>
      <c r="F908" s="13"/>
      <c r="G908" s="14">
        <v>44.77</v>
      </c>
      <c r="H908" s="15">
        <f t="shared" si="147"/>
        <v>49247</v>
      </c>
      <c r="I908" s="16">
        <f t="shared" si="148"/>
        <v>2926</v>
      </c>
      <c r="J908" s="19">
        <f t="shared" si="149"/>
        <v>0.06316789361196866</v>
      </c>
      <c r="K908" s="95" t="s">
        <v>261</v>
      </c>
      <c r="L908" s="119">
        <v>39.32</v>
      </c>
      <c r="M908" s="41">
        <f t="shared" si="150"/>
        <v>39.153000000000006</v>
      </c>
      <c r="N908" s="118">
        <v>52.13</v>
      </c>
      <c r="O908" s="116"/>
      <c r="P908" s="116" t="s">
        <v>66</v>
      </c>
      <c r="Q908" s="117"/>
      <c r="R908" s="118"/>
      <c r="S908" s="117"/>
      <c r="T908" s="116"/>
      <c r="V908" s="15"/>
      <c r="W908" s="29"/>
    </row>
    <row r="909" spans="1:23" s="114" customFormat="1" ht="15">
      <c r="A909" s="12" t="s">
        <v>66</v>
      </c>
      <c r="B909" s="65">
        <v>41798.27222222222</v>
      </c>
      <c r="C909" s="14">
        <v>43.43</v>
      </c>
      <c r="D909" s="15">
        <v>700</v>
      </c>
      <c r="E909" s="15">
        <f t="shared" si="146"/>
        <v>30412</v>
      </c>
      <c r="F909" s="13"/>
      <c r="G909" s="14">
        <v>44.77</v>
      </c>
      <c r="H909" s="15">
        <f t="shared" si="147"/>
        <v>31339.000000000004</v>
      </c>
      <c r="I909" s="16">
        <f t="shared" si="148"/>
        <v>927.0000000000036</v>
      </c>
      <c r="J909" s="19">
        <f t="shared" si="149"/>
        <v>0.030481388925424294</v>
      </c>
      <c r="K909" s="95" t="s">
        <v>260</v>
      </c>
      <c r="L909" s="119"/>
      <c r="M909" s="20">
        <f t="shared" si="150"/>
        <v>40.389900000000004</v>
      </c>
      <c r="N909" s="118">
        <v>52.13</v>
      </c>
      <c r="O909" s="116"/>
      <c r="P909" s="116" t="s">
        <v>66</v>
      </c>
      <c r="Q909" s="117"/>
      <c r="R909" s="118"/>
      <c r="S909" s="117"/>
      <c r="T909" s="116"/>
      <c r="V909" s="15"/>
      <c r="W909" s="29"/>
    </row>
    <row r="910" spans="1:23" s="114" customFormat="1" ht="15">
      <c r="A910" s="12" t="s">
        <v>59</v>
      </c>
      <c r="B910" s="65">
        <v>42164.36944444444</v>
      </c>
      <c r="C910" s="14">
        <v>47.25</v>
      </c>
      <c r="D910" s="15">
        <v>1600</v>
      </c>
      <c r="E910" s="15">
        <f t="shared" si="146"/>
        <v>75611</v>
      </c>
      <c r="F910" s="13"/>
      <c r="G910" s="14">
        <v>53.28</v>
      </c>
      <c r="H910" s="15">
        <f t="shared" si="147"/>
        <v>85248</v>
      </c>
      <c r="I910" s="16">
        <f t="shared" si="148"/>
        <v>9637</v>
      </c>
      <c r="J910" s="19">
        <f t="shared" si="149"/>
        <v>0.12745499993387205</v>
      </c>
      <c r="K910" s="95" t="s">
        <v>263</v>
      </c>
      <c r="L910" s="119">
        <v>46.6</v>
      </c>
      <c r="M910" s="41">
        <f t="shared" si="150"/>
        <v>43.9425</v>
      </c>
      <c r="N910" s="118">
        <v>60.98</v>
      </c>
      <c r="O910" s="121">
        <v>42223</v>
      </c>
      <c r="P910" s="116" t="s">
        <v>59</v>
      </c>
      <c r="Q910" s="117">
        <v>54.6</v>
      </c>
      <c r="R910" s="118">
        <f>Q910*0.855</f>
        <v>46.683</v>
      </c>
      <c r="S910" s="117">
        <f>1.11*C910</f>
        <v>52.447500000000005</v>
      </c>
      <c r="T910" s="116"/>
      <c r="V910" s="15"/>
      <c r="W910" s="29"/>
    </row>
    <row r="911" spans="1:23" s="114" customFormat="1" ht="15">
      <c r="A911" s="12" t="s">
        <v>59</v>
      </c>
      <c r="B911" s="65">
        <v>42164.478472222225</v>
      </c>
      <c r="C911" s="14">
        <v>48.3</v>
      </c>
      <c r="D911" s="15">
        <v>1000</v>
      </c>
      <c r="E911" s="15">
        <f t="shared" si="146"/>
        <v>48311</v>
      </c>
      <c r="F911" s="13"/>
      <c r="G911" s="14">
        <v>53.28</v>
      </c>
      <c r="H911" s="15">
        <f t="shared" si="147"/>
        <v>53280</v>
      </c>
      <c r="I911" s="16">
        <f t="shared" si="148"/>
        <v>4969</v>
      </c>
      <c r="J911" s="19">
        <f t="shared" si="149"/>
        <v>0.10285442238827597</v>
      </c>
      <c r="K911" s="95" t="s">
        <v>265</v>
      </c>
      <c r="L911" s="119">
        <v>46.6</v>
      </c>
      <c r="M911" s="41">
        <f t="shared" si="150"/>
        <v>44.919</v>
      </c>
      <c r="N911" s="118">
        <v>60.98</v>
      </c>
      <c r="O911" s="116"/>
      <c r="P911" s="116" t="s">
        <v>59</v>
      </c>
      <c r="Q911" s="117"/>
      <c r="R911" s="118"/>
      <c r="S911" s="117"/>
      <c r="T911" s="116"/>
      <c r="V911" s="15"/>
      <c r="W911" s="29"/>
    </row>
    <row r="912" spans="1:23" s="114" customFormat="1" ht="15">
      <c r="A912" s="12" t="s">
        <v>59</v>
      </c>
      <c r="B912" s="65">
        <v>42166.291666666664</v>
      </c>
      <c r="C912" s="14">
        <v>49.14</v>
      </c>
      <c r="D912" s="15">
        <v>600</v>
      </c>
      <c r="E912" s="15">
        <f t="shared" si="146"/>
        <v>29495</v>
      </c>
      <c r="F912" s="13"/>
      <c r="G912" s="14">
        <v>53.28</v>
      </c>
      <c r="H912" s="15">
        <f t="shared" si="147"/>
        <v>31968</v>
      </c>
      <c r="I912" s="16">
        <f t="shared" si="148"/>
        <v>2473</v>
      </c>
      <c r="J912" s="19">
        <f t="shared" si="149"/>
        <v>0.08384471944397355</v>
      </c>
      <c r="K912" s="95" t="s">
        <v>264</v>
      </c>
      <c r="L912" s="119">
        <v>46.6</v>
      </c>
      <c r="M912" s="41">
        <f t="shared" si="150"/>
        <v>45.7002</v>
      </c>
      <c r="N912" s="118">
        <v>60.98</v>
      </c>
      <c r="O912" s="116"/>
      <c r="P912" s="116" t="s">
        <v>59</v>
      </c>
      <c r="Q912" s="117"/>
      <c r="R912" s="118"/>
      <c r="S912" s="117"/>
      <c r="T912" s="116"/>
      <c r="V912" s="15"/>
      <c r="W912" s="29"/>
    </row>
    <row r="913" spans="1:23" s="114" customFormat="1" ht="15">
      <c r="A913" s="85" t="s">
        <v>48</v>
      </c>
      <c r="B913" s="65">
        <v>42174.53472222222</v>
      </c>
      <c r="C913" s="14">
        <v>82.6</v>
      </c>
      <c r="D913" s="15">
        <v>950</v>
      </c>
      <c r="E913" s="15">
        <f t="shared" si="146"/>
        <v>78481</v>
      </c>
      <c r="F913" s="13"/>
      <c r="G913" s="14">
        <v>82.51</v>
      </c>
      <c r="H913" s="15">
        <f t="shared" si="147"/>
        <v>78384.5</v>
      </c>
      <c r="I913" s="16">
        <f t="shared" si="148"/>
        <v>-96.5</v>
      </c>
      <c r="J913" s="19">
        <f t="shared" si="149"/>
        <v>-0.0012295969725156408</v>
      </c>
      <c r="K913" s="95" t="s">
        <v>272</v>
      </c>
      <c r="L913" s="119"/>
      <c r="M913" s="20">
        <f t="shared" si="150"/>
        <v>76.818</v>
      </c>
      <c r="N913" s="117">
        <v>103.69</v>
      </c>
      <c r="O913" s="121">
        <v>42230</v>
      </c>
      <c r="P913" s="116" t="s">
        <v>48</v>
      </c>
      <c r="R913" s="118"/>
      <c r="S913" s="117">
        <f>1.11*C913</f>
        <v>91.686</v>
      </c>
      <c r="T913" s="116"/>
      <c r="V913" s="15"/>
      <c r="W913" s="29"/>
    </row>
    <row r="914" spans="1:20" s="114" customFormat="1" ht="15">
      <c r="A914" s="12"/>
      <c r="B914" s="13"/>
      <c r="C914" s="14"/>
      <c r="D914" s="15"/>
      <c r="E914" s="15"/>
      <c r="F914" s="13"/>
      <c r="G914" s="14"/>
      <c r="H914" s="15"/>
      <c r="I914" s="16"/>
      <c r="J914" s="19"/>
      <c r="K914" s="95"/>
      <c r="L914" s="119"/>
      <c r="M914" s="32"/>
      <c r="N914" s="118"/>
      <c r="Q914" s="117"/>
      <c r="R914" s="117"/>
      <c r="S914" s="117"/>
      <c r="T914" s="116"/>
    </row>
    <row r="915" spans="1:20" s="114" customFormat="1" ht="15">
      <c r="A915" s="21" t="s">
        <v>14</v>
      </c>
      <c r="B915" s="22"/>
      <c r="C915" s="23"/>
      <c r="D915" s="24"/>
      <c r="E915" s="24">
        <f>SUM(E881:E914)</f>
        <v>630421.45</v>
      </c>
      <c r="F915" s="22"/>
      <c r="G915" s="23"/>
      <c r="H915" s="24">
        <f>SUM(H881:H914)</f>
        <v>725311.4000000001</v>
      </c>
      <c r="I915" s="25">
        <f>SUM(I881:I914)</f>
        <v>94889.95</v>
      </c>
      <c r="J915" s="26">
        <f>I915/E915</f>
        <v>0.15051827630547787</v>
      </c>
      <c r="K915" s="27" t="s">
        <v>15</v>
      </c>
      <c r="L915" s="28">
        <f>100000+I917</f>
        <v>342951.61</v>
      </c>
      <c r="M915" s="81"/>
      <c r="N915" s="89"/>
      <c r="Q915" s="117"/>
      <c r="R915" s="117"/>
      <c r="S915" s="117"/>
      <c r="T915" s="116"/>
    </row>
    <row r="916" spans="1:20" s="114" customFormat="1" ht="15">
      <c r="A916" s="12" t="s">
        <v>67</v>
      </c>
      <c r="B916" s="22"/>
      <c r="C916" s="25">
        <f>I917-I876</f>
        <v>16433.25</v>
      </c>
      <c r="D916" s="26">
        <f>C916/H874</f>
        <v>0.021872769315605566</v>
      </c>
      <c r="E916" s="24"/>
      <c r="F916" s="22" t="s">
        <v>16</v>
      </c>
      <c r="G916" s="117"/>
      <c r="H916" s="29" t="str">
        <f>IF(ABS(H915-E915-I915)&lt;1,"","ERROR")</f>
        <v/>
      </c>
      <c r="I916" s="16">
        <v>148061.65999999997</v>
      </c>
      <c r="J916" s="26"/>
      <c r="K916" s="111" t="s">
        <v>17</v>
      </c>
      <c r="L916" s="28">
        <f>(2*(100000+I917))-E915</f>
        <v>55481.77000000002</v>
      </c>
      <c r="M916" s="31"/>
      <c r="Q916" s="117"/>
      <c r="R916" s="117"/>
      <c r="S916" s="117"/>
      <c r="T916" s="116"/>
    </row>
    <row r="917" spans="1:20" s="114" customFormat="1" ht="15">
      <c r="A917" s="12" t="s">
        <v>54</v>
      </c>
      <c r="B917" s="22"/>
      <c r="C917" s="25">
        <f>L915-L874</f>
        <v>16433.25</v>
      </c>
      <c r="D917" s="26">
        <f>C917/L874</f>
        <v>0.05032871658426803</v>
      </c>
      <c r="E917" s="24"/>
      <c r="F917" s="22" t="s">
        <v>18</v>
      </c>
      <c r="G917" s="117"/>
      <c r="H917" s="29"/>
      <c r="I917" s="30">
        <f>I915+I916</f>
        <v>242951.61</v>
      </c>
      <c r="J917" s="26">
        <f>I917/100000</f>
        <v>2.4295161</v>
      </c>
      <c r="K917" s="111" t="s">
        <v>19</v>
      </c>
      <c r="L917" s="26">
        <f>E915/(2*(100000+I917))</f>
        <v>0.919111372592769</v>
      </c>
      <c r="M917" s="31"/>
      <c r="Q917" s="117"/>
      <c r="R917" s="117"/>
      <c r="S917" s="117"/>
      <c r="T917" s="116"/>
    </row>
    <row r="918" spans="1:20" s="114" customFormat="1" ht="15">
      <c r="A918" s="114">
        <v>8</v>
      </c>
      <c r="B918" s="22"/>
      <c r="C918" s="25"/>
      <c r="D918" s="26"/>
      <c r="E918" s="24"/>
      <c r="F918" s="22"/>
      <c r="G918" s="117"/>
      <c r="H918" s="29"/>
      <c r="I918" s="30"/>
      <c r="J918" s="26"/>
      <c r="K918" s="111"/>
      <c r="L918" s="26"/>
      <c r="M918" s="31"/>
      <c r="Q918" s="117"/>
      <c r="R918" s="117"/>
      <c r="S918" s="117"/>
      <c r="T918" s="116"/>
    </row>
    <row r="919" spans="2:20" s="114" customFormat="1" ht="15">
      <c r="B919" s="22"/>
      <c r="C919" s="25"/>
      <c r="D919" s="26"/>
      <c r="E919" s="24"/>
      <c r="F919" s="22"/>
      <c r="G919" s="117"/>
      <c r="H919" s="29"/>
      <c r="I919" s="30"/>
      <c r="J919" s="26"/>
      <c r="K919" s="111"/>
      <c r="L919" s="26"/>
      <c r="M919" s="31"/>
      <c r="Q919" s="117"/>
      <c r="R919" s="117"/>
      <c r="S919" s="117"/>
      <c r="T919" s="116"/>
    </row>
    <row r="920" spans="1:20" s="114" customFormat="1" ht="30.75" customHeight="1">
      <c r="A920" s="108" t="s">
        <v>56</v>
      </c>
      <c r="B920" s="384" t="s">
        <v>271</v>
      </c>
      <c r="C920" s="384"/>
      <c r="D920" s="384"/>
      <c r="E920" s="384"/>
      <c r="F920" s="384"/>
      <c r="G920" s="384"/>
      <c r="H920" s="384"/>
      <c r="I920" s="384"/>
      <c r="J920" s="384"/>
      <c r="K920" s="384"/>
      <c r="L920" s="384"/>
      <c r="M920" s="384"/>
      <c r="N920" s="384"/>
      <c r="O920" s="92"/>
      <c r="P920" s="92"/>
      <c r="Q920" s="104"/>
      <c r="R920" s="104"/>
      <c r="S920" s="107"/>
      <c r="T920" s="109"/>
    </row>
    <row r="921" spans="1:22" s="114" customFormat="1" ht="15">
      <c r="A921" s="2" t="s">
        <v>0</v>
      </c>
      <c r="B921" s="3" t="s">
        <v>1</v>
      </c>
      <c r="C921" s="4" t="s">
        <v>2</v>
      </c>
      <c r="D921" s="5" t="s">
        <v>3</v>
      </c>
      <c r="E921" s="6" t="s">
        <v>4</v>
      </c>
      <c r="F921" s="3" t="s">
        <v>5</v>
      </c>
      <c r="G921" s="7" t="s">
        <v>2</v>
      </c>
      <c r="H921" s="6" t="s">
        <v>6</v>
      </c>
      <c r="I921" s="6" t="s">
        <v>7</v>
      </c>
      <c r="J921" s="8" t="s">
        <v>8</v>
      </c>
      <c r="K921" s="9" t="s">
        <v>9</v>
      </c>
      <c r="L921" s="10" t="s">
        <v>10</v>
      </c>
      <c r="M921" s="11" t="s">
        <v>11</v>
      </c>
      <c r="N921" s="103" t="s">
        <v>53</v>
      </c>
      <c r="O921" s="105" t="s">
        <v>110</v>
      </c>
      <c r="P921" s="106" t="s">
        <v>0</v>
      </c>
      <c r="Q921" s="117" t="s">
        <v>13</v>
      </c>
      <c r="R921" s="117" t="s">
        <v>70</v>
      </c>
      <c r="S921" s="111" t="s">
        <v>103</v>
      </c>
      <c r="T921" s="116" t="s">
        <v>107</v>
      </c>
      <c r="V921" s="9"/>
    </row>
    <row r="922" spans="1:22" s="114" customFormat="1" ht="15">
      <c r="A922" s="12" t="s">
        <v>80</v>
      </c>
      <c r="B922" s="65">
        <v>42011.30486111111</v>
      </c>
      <c r="C922" s="14">
        <v>58.02</v>
      </c>
      <c r="D922" s="15">
        <v>250</v>
      </c>
      <c r="E922" s="15">
        <f aca="true" t="shared" si="151" ref="E922:E950">C922*D922+11</f>
        <v>14516</v>
      </c>
      <c r="F922" s="13"/>
      <c r="G922" s="14">
        <v>111.49</v>
      </c>
      <c r="H922" s="15">
        <f aca="true" t="shared" si="152" ref="H922:H950">G922*D922</f>
        <v>27872.5</v>
      </c>
      <c r="I922" s="16">
        <f aca="true" t="shared" si="153" ref="I922:I950">H922-E922</f>
        <v>13356.5</v>
      </c>
      <c r="J922" s="19">
        <f aca="true" t="shared" si="154" ref="J922:J950">I922/E922</f>
        <v>0.9201226233122072</v>
      </c>
      <c r="K922" s="141" t="s">
        <v>239</v>
      </c>
      <c r="L922" s="140" t="s">
        <v>51</v>
      </c>
      <c r="M922" s="41">
        <f aca="true" t="shared" si="155" ref="M922:M950">C922*0.93</f>
        <v>53.958600000000004</v>
      </c>
      <c r="N922" s="118">
        <v>76.6</v>
      </c>
      <c r="O922" s="121">
        <v>42090</v>
      </c>
      <c r="P922" s="116" t="s">
        <v>80</v>
      </c>
      <c r="Q922" s="117">
        <v>114.79</v>
      </c>
      <c r="R922" s="118">
        <f>Q922*0.855</f>
        <v>98.14545</v>
      </c>
      <c r="S922" s="117">
        <f>1.11*C922</f>
        <v>64.40220000000001</v>
      </c>
      <c r="T922" s="116"/>
      <c r="U922" s="117"/>
      <c r="V922" s="15"/>
    </row>
    <row r="923" spans="1:22" s="114" customFormat="1" ht="15">
      <c r="A923" s="12" t="s">
        <v>80</v>
      </c>
      <c r="B923" s="65">
        <v>42011.40694444445</v>
      </c>
      <c r="C923" s="14">
        <v>59.16</v>
      </c>
      <c r="D923" s="15">
        <v>150</v>
      </c>
      <c r="E923" s="15">
        <f t="shared" si="151"/>
        <v>8885</v>
      </c>
      <c r="F923" s="13"/>
      <c r="G923" s="14">
        <v>111.49</v>
      </c>
      <c r="H923" s="15">
        <f t="shared" si="152"/>
        <v>16723.5</v>
      </c>
      <c r="I923" s="16">
        <f t="shared" si="153"/>
        <v>7838.5</v>
      </c>
      <c r="J923" s="122">
        <f t="shared" si="154"/>
        <v>0.8822172200337648</v>
      </c>
      <c r="K923" s="95" t="s">
        <v>82</v>
      </c>
      <c r="L923" s="140" t="s">
        <v>51</v>
      </c>
      <c r="M923" s="41">
        <f t="shared" si="155"/>
        <v>55.0188</v>
      </c>
      <c r="N923" s="118">
        <v>77.93</v>
      </c>
      <c r="O923" s="116"/>
      <c r="P923" s="116" t="s">
        <v>80</v>
      </c>
      <c r="Q923" s="117"/>
      <c r="R923" s="118"/>
      <c r="S923" s="117"/>
      <c r="T923" s="116"/>
      <c r="V923" s="15"/>
    </row>
    <row r="924" spans="1:22" s="114" customFormat="1" ht="15">
      <c r="A924" s="12" t="s">
        <v>80</v>
      </c>
      <c r="B924" s="65">
        <v>42012.29305555556</v>
      </c>
      <c r="C924" s="14">
        <v>60.3</v>
      </c>
      <c r="D924" s="15">
        <v>100</v>
      </c>
      <c r="E924" s="15">
        <f t="shared" si="151"/>
        <v>6041</v>
      </c>
      <c r="F924" s="13"/>
      <c r="G924" s="14">
        <v>111.49</v>
      </c>
      <c r="H924" s="15">
        <f t="shared" si="152"/>
        <v>11149</v>
      </c>
      <c r="I924" s="16">
        <f t="shared" si="153"/>
        <v>5108</v>
      </c>
      <c r="J924" s="19">
        <f t="shared" si="154"/>
        <v>0.8455553716272141</v>
      </c>
      <c r="K924" s="95" t="s">
        <v>83</v>
      </c>
      <c r="L924" s="140" t="s">
        <v>51</v>
      </c>
      <c r="M924" s="41">
        <f t="shared" si="155"/>
        <v>56.079</v>
      </c>
      <c r="N924" s="118">
        <v>77.93</v>
      </c>
      <c r="O924" s="116"/>
      <c r="P924" s="116" t="s">
        <v>80</v>
      </c>
      <c r="Q924" s="117"/>
      <c r="R924" s="118"/>
      <c r="S924" s="117"/>
      <c r="T924" s="116"/>
      <c r="V924" s="15"/>
    </row>
    <row r="925" spans="1:22" s="114" customFormat="1" ht="15">
      <c r="A925" s="12" t="s">
        <v>80</v>
      </c>
      <c r="B925" s="65">
        <v>42047.271527777775</v>
      </c>
      <c r="C925" s="14">
        <v>64.65</v>
      </c>
      <c r="D925" s="15">
        <v>100</v>
      </c>
      <c r="E925" s="15">
        <f t="shared" si="151"/>
        <v>6476.000000000001</v>
      </c>
      <c r="F925" s="13"/>
      <c r="G925" s="14">
        <v>111.49</v>
      </c>
      <c r="H925" s="15">
        <f t="shared" si="152"/>
        <v>11149</v>
      </c>
      <c r="I925" s="16">
        <f t="shared" si="153"/>
        <v>4672.999999999999</v>
      </c>
      <c r="J925" s="19">
        <f t="shared" si="154"/>
        <v>0.7215873996294007</v>
      </c>
      <c r="K925" s="95" t="s">
        <v>132</v>
      </c>
      <c r="L925" s="140" t="s">
        <v>51</v>
      </c>
      <c r="M925" s="41">
        <f t="shared" si="155"/>
        <v>60.12450000000001</v>
      </c>
      <c r="N925" s="118">
        <v>77.93</v>
      </c>
      <c r="O925" s="116"/>
      <c r="P925" s="116" t="s">
        <v>80</v>
      </c>
      <c r="Q925" s="117"/>
      <c r="R925" s="118"/>
      <c r="S925" s="117"/>
      <c r="T925" s="116"/>
      <c r="V925" s="15"/>
    </row>
    <row r="926" spans="1:22" s="114" customFormat="1" ht="15">
      <c r="A926" s="12" t="s">
        <v>80</v>
      </c>
      <c r="B926" s="65">
        <v>42081.34097222222</v>
      </c>
      <c r="C926" s="14">
        <v>70</v>
      </c>
      <c r="D926" s="15">
        <v>120</v>
      </c>
      <c r="E926" s="15">
        <f t="shared" si="151"/>
        <v>8411</v>
      </c>
      <c r="F926" s="13"/>
      <c r="G926" s="14">
        <v>111.49</v>
      </c>
      <c r="H926" s="15">
        <f t="shared" si="152"/>
        <v>13378.8</v>
      </c>
      <c r="I926" s="16">
        <f t="shared" si="153"/>
        <v>4967.799999999999</v>
      </c>
      <c r="J926" s="19">
        <f t="shared" si="154"/>
        <v>0.5906313161336344</v>
      </c>
      <c r="K926" s="95" t="s">
        <v>181</v>
      </c>
      <c r="L926" s="140" t="s">
        <v>51</v>
      </c>
      <c r="M926" s="41">
        <f t="shared" si="155"/>
        <v>65.10000000000001</v>
      </c>
      <c r="N926" s="118">
        <v>77.93</v>
      </c>
      <c r="O926" s="116"/>
      <c r="P926" s="116" t="s">
        <v>80</v>
      </c>
      <c r="Q926" s="117"/>
      <c r="R926" s="118"/>
      <c r="S926" s="117"/>
      <c r="T926" s="116"/>
      <c r="V926" s="15"/>
    </row>
    <row r="927" spans="1:22" s="114" customFormat="1" ht="15">
      <c r="A927" s="12" t="s">
        <v>80</v>
      </c>
      <c r="B927" s="65">
        <v>42117.55694444444</v>
      </c>
      <c r="C927" s="14">
        <v>77.75</v>
      </c>
      <c r="D927" s="15">
        <v>150</v>
      </c>
      <c r="E927" s="15">
        <f t="shared" si="151"/>
        <v>11673.5</v>
      </c>
      <c r="F927" s="13"/>
      <c r="G927" s="14">
        <v>111.49</v>
      </c>
      <c r="H927" s="15">
        <f t="shared" si="152"/>
        <v>16723.5</v>
      </c>
      <c r="I927" s="16">
        <f t="shared" si="153"/>
        <v>5050</v>
      </c>
      <c r="J927" s="19">
        <f t="shared" si="154"/>
        <v>0.4326037606544738</v>
      </c>
      <c r="K927" s="95" t="s">
        <v>233</v>
      </c>
      <c r="L927" s="140" t="s">
        <v>51</v>
      </c>
      <c r="M927" s="41">
        <f t="shared" si="155"/>
        <v>72.3075</v>
      </c>
      <c r="N927" s="118">
        <v>77.93</v>
      </c>
      <c r="O927" s="116"/>
      <c r="P927" s="116" t="s">
        <v>80</v>
      </c>
      <c r="Q927" s="117"/>
      <c r="R927" s="118"/>
      <c r="S927" s="117"/>
      <c r="T927" s="116"/>
      <c r="V927" s="15"/>
    </row>
    <row r="928" spans="1:23" s="114" customFormat="1" ht="15">
      <c r="A928" s="12" t="s">
        <v>80</v>
      </c>
      <c r="B928" s="65">
        <v>42128.525</v>
      </c>
      <c r="C928" s="14">
        <v>93.09</v>
      </c>
      <c r="D928" s="15">
        <v>180</v>
      </c>
      <c r="E928" s="15">
        <f t="shared" si="151"/>
        <v>16767.2</v>
      </c>
      <c r="F928" s="13"/>
      <c r="G928" s="14">
        <v>111.49</v>
      </c>
      <c r="H928" s="15">
        <f t="shared" si="152"/>
        <v>20068.2</v>
      </c>
      <c r="I928" s="16">
        <f t="shared" si="153"/>
        <v>3301</v>
      </c>
      <c r="J928" s="19">
        <f t="shared" si="154"/>
        <v>0.1968724652893745</v>
      </c>
      <c r="K928" s="95" t="s">
        <v>244</v>
      </c>
      <c r="L928" s="140" t="s">
        <v>51</v>
      </c>
      <c r="M928" s="41">
        <f t="shared" si="155"/>
        <v>86.5737</v>
      </c>
      <c r="N928" s="118">
        <v>77.93</v>
      </c>
      <c r="O928" s="116"/>
      <c r="P928" s="116" t="s">
        <v>80</v>
      </c>
      <c r="Q928" s="117"/>
      <c r="R928" s="118"/>
      <c r="S928" s="117"/>
      <c r="T928" s="116"/>
      <c r="V928" s="15"/>
      <c r="W928" s="29"/>
    </row>
    <row r="929" spans="1:22" s="114" customFormat="1" ht="15">
      <c r="A929" s="12" t="s">
        <v>61</v>
      </c>
      <c r="B929" s="65">
        <v>42040.27847222222</v>
      </c>
      <c r="C929" s="14">
        <v>132.85</v>
      </c>
      <c r="D929" s="15">
        <v>110</v>
      </c>
      <c r="E929" s="15">
        <f t="shared" si="151"/>
        <v>14624.5</v>
      </c>
      <c r="F929" s="65"/>
      <c r="G929" s="14">
        <v>157.98</v>
      </c>
      <c r="H929" s="15">
        <f t="shared" si="152"/>
        <v>17377.8</v>
      </c>
      <c r="I929" s="16">
        <f t="shared" si="153"/>
        <v>2753.2999999999993</v>
      </c>
      <c r="J929" s="19">
        <f t="shared" si="154"/>
        <v>0.18826626551335082</v>
      </c>
      <c r="K929" s="95" t="s">
        <v>134</v>
      </c>
      <c r="L929" s="119">
        <v>136.67</v>
      </c>
      <c r="M929" s="41">
        <f t="shared" si="155"/>
        <v>123.5505</v>
      </c>
      <c r="N929" s="118">
        <v>168.13</v>
      </c>
      <c r="O929" s="121">
        <v>42086</v>
      </c>
      <c r="P929" s="116" t="s">
        <v>61</v>
      </c>
      <c r="Q929" s="117">
        <v>159.85</v>
      </c>
      <c r="R929" s="118">
        <f>Q929*0.855</f>
        <v>136.67175</v>
      </c>
      <c r="S929" s="117">
        <f>1.11*C929</f>
        <v>147.4635</v>
      </c>
      <c r="T929" s="116"/>
      <c r="U929" s="117"/>
      <c r="V929" s="15"/>
    </row>
    <row r="930" spans="1:22" s="114" customFormat="1" ht="15">
      <c r="A930" s="12" t="s">
        <v>61</v>
      </c>
      <c r="B930" s="65">
        <v>42045.27291666667</v>
      </c>
      <c r="C930" s="14">
        <v>135.9</v>
      </c>
      <c r="D930" s="15">
        <v>65</v>
      </c>
      <c r="E930" s="15">
        <f t="shared" si="151"/>
        <v>8844.5</v>
      </c>
      <c r="F930" s="13"/>
      <c r="G930" s="14">
        <v>157.98</v>
      </c>
      <c r="H930" s="15">
        <f t="shared" si="152"/>
        <v>10268.699999999999</v>
      </c>
      <c r="I930" s="16">
        <f t="shared" si="153"/>
        <v>1424.199999999999</v>
      </c>
      <c r="J930" s="19">
        <f t="shared" si="154"/>
        <v>0.16102662671716875</v>
      </c>
      <c r="K930" s="95" t="s">
        <v>141</v>
      </c>
      <c r="L930" s="119">
        <v>136.67</v>
      </c>
      <c r="M930" s="41">
        <f t="shared" si="155"/>
        <v>126.38700000000001</v>
      </c>
      <c r="N930" s="118">
        <v>168.13</v>
      </c>
      <c r="O930" s="116"/>
      <c r="P930" s="116" t="s">
        <v>61</v>
      </c>
      <c r="Q930" s="117"/>
      <c r="R930" s="118"/>
      <c r="S930" s="117"/>
      <c r="T930" s="116"/>
      <c r="V930" s="15"/>
    </row>
    <row r="931" spans="1:22" s="114" customFormat="1" ht="15">
      <c r="A931" s="12" t="s">
        <v>61</v>
      </c>
      <c r="B931" s="65">
        <v>42054.277083333334</v>
      </c>
      <c r="C931" s="14">
        <v>139.17</v>
      </c>
      <c r="D931" s="15">
        <v>40</v>
      </c>
      <c r="E931" s="15">
        <f t="shared" si="151"/>
        <v>5577.799999999999</v>
      </c>
      <c r="F931" s="13"/>
      <c r="G931" s="14">
        <v>157.98</v>
      </c>
      <c r="H931" s="15">
        <f t="shared" si="152"/>
        <v>6319.2</v>
      </c>
      <c r="I931" s="16">
        <f t="shared" si="153"/>
        <v>741.4000000000005</v>
      </c>
      <c r="J931" s="19">
        <f t="shared" si="154"/>
        <v>0.1329197891641867</v>
      </c>
      <c r="K931" s="95" t="s">
        <v>140</v>
      </c>
      <c r="L931" s="119">
        <v>136.67</v>
      </c>
      <c r="M931" s="41">
        <f t="shared" si="155"/>
        <v>129.4281</v>
      </c>
      <c r="N931" s="118">
        <v>168.13</v>
      </c>
      <c r="O931" s="116"/>
      <c r="P931" s="116" t="s">
        <v>61</v>
      </c>
      <c r="Q931" s="117"/>
      <c r="R931" s="118"/>
      <c r="S931" s="117"/>
      <c r="T931" s="116"/>
      <c r="V931" s="15"/>
    </row>
    <row r="932" spans="1:22" s="114" customFormat="1" ht="15">
      <c r="A932" s="12" t="s">
        <v>61</v>
      </c>
      <c r="B932" s="65">
        <v>42075.56458333333</v>
      </c>
      <c r="C932" s="14">
        <v>154</v>
      </c>
      <c r="D932" s="15">
        <v>40</v>
      </c>
      <c r="E932" s="15">
        <f t="shared" si="151"/>
        <v>6171</v>
      </c>
      <c r="F932" s="13"/>
      <c r="G932" s="14">
        <v>157.98</v>
      </c>
      <c r="H932" s="15">
        <f t="shared" si="152"/>
        <v>6319.2</v>
      </c>
      <c r="I932" s="16">
        <f t="shared" si="153"/>
        <v>148.19999999999982</v>
      </c>
      <c r="J932" s="19">
        <f t="shared" si="154"/>
        <v>0.024015556635877462</v>
      </c>
      <c r="K932" s="95" t="s">
        <v>160</v>
      </c>
      <c r="L932" s="119"/>
      <c r="M932" s="20">
        <f t="shared" si="155"/>
        <v>143.22</v>
      </c>
      <c r="N932" s="118">
        <v>168.13</v>
      </c>
      <c r="O932" s="116"/>
      <c r="P932" s="116" t="s">
        <v>61</v>
      </c>
      <c r="Q932" s="117"/>
      <c r="R932" s="118"/>
      <c r="S932" s="117"/>
      <c r="T932" s="116"/>
      <c r="V932" s="15"/>
    </row>
    <row r="933" spans="1:23" s="114" customFormat="1" ht="15">
      <c r="A933" s="12" t="s">
        <v>61</v>
      </c>
      <c r="B933" s="65">
        <v>42109.27222222222</v>
      </c>
      <c r="C933" s="14">
        <v>156.13</v>
      </c>
      <c r="D933" s="15">
        <v>50</v>
      </c>
      <c r="E933" s="15">
        <f t="shared" si="151"/>
        <v>7817.5</v>
      </c>
      <c r="F933" s="13"/>
      <c r="G933" s="14">
        <v>157.98</v>
      </c>
      <c r="H933" s="15">
        <f t="shared" si="152"/>
        <v>7898.999999999999</v>
      </c>
      <c r="I933" s="16">
        <f t="shared" si="153"/>
        <v>81.49999999999909</v>
      </c>
      <c r="J933" s="19">
        <f t="shared" si="154"/>
        <v>0.010425327790214146</v>
      </c>
      <c r="K933" s="95" t="s">
        <v>221</v>
      </c>
      <c r="L933" s="119"/>
      <c r="M933" s="20">
        <f t="shared" si="155"/>
        <v>145.2009</v>
      </c>
      <c r="N933" s="118">
        <v>168.13</v>
      </c>
      <c r="O933" s="116"/>
      <c r="P933" s="116" t="s">
        <v>61</v>
      </c>
      <c r="Q933" s="117"/>
      <c r="R933" s="118"/>
      <c r="S933" s="117"/>
      <c r="T933" s="116"/>
      <c r="V933" s="15"/>
      <c r="W933" s="29"/>
    </row>
    <row r="934" spans="1:22" s="114" customFormat="1" ht="15">
      <c r="A934" s="12" t="s">
        <v>169</v>
      </c>
      <c r="B934" s="65">
        <v>42076.538194444445</v>
      </c>
      <c r="C934" s="14">
        <v>56.64</v>
      </c>
      <c r="D934" s="15">
        <v>320</v>
      </c>
      <c r="E934" s="15">
        <f t="shared" si="151"/>
        <v>18135.8</v>
      </c>
      <c r="F934" s="13"/>
      <c r="G934" s="14">
        <v>64.31</v>
      </c>
      <c r="H934" s="15">
        <f t="shared" si="152"/>
        <v>20579.2</v>
      </c>
      <c r="I934" s="16">
        <f t="shared" si="153"/>
        <v>2443.4000000000015</v>
      </c>
      <c r="J934" s="19">
        <f t="shared" si="154"/>
        <v>0.13472799655929166</v>
      </c>
      <c r="K934" s="95" t="s">
        <v>170</v>
      </c>
      <c r="L934" s="119">
        <v>56.14</v>
      </c>
      <c r="M934" s="41">
        <f t="shared" si="155"/>
        <v>52.675200000000004</v>
      </c>
      <c r="N934" s="118">
        <v>71.25</v>
      </c>
      <c r="O934" s="121">
        <v>42132</v>
      </c>
      <c r="P934" s="116" t="s">
        <v>169</v>
      </c>
      <c r="Q934" s="117">
        <v>65.66</v>
      </c>
      <c r="R934" s="118">
        <f>Q934*0.855</f>
        <v>56.1393</v>
      </c>
      <c r="S934" s="117">
        <f>1.11*C934</f>
        <v>62.870400000000004</v>
      </c>
      <c r="T934" s="116"/>
      <c r="U934" s="117"/>
      <c r="V934" s="15"/>
    </row>
    <row r="935" spans="1:22" s="114" customFormat="1" ht="15">
      <c r="A935" s="12" t="s">
        <v>169</v>
      </c>
      <c r="B935" s="65">
        <v>42082.302777777775</v>
      </c>
      <c r="C935" s="14">
        <v>57.9</v>
      </c>
      <c r="D935" s="15">
        <v>190</v>
      </c>
      <c r="E935" s="15">
        <f t="shared" si="151"/>
        <v>11012</v>
      </c>
      <c r="F935" s="13"/>
      <c r="G935" s="14">
        <v>64.31</v>
      </c>
      <c r="H935" s="15">
        <f t="shared" si="152"/>
        <v>12218.9</v>
      </c>
      <c r="I935" s="16">
        <f t="shared" si="153"/>
        <v>1206.8999999999996</v>
      </c>
      <c r="J935" s="19">
        <f t="shared" si="154"/>
        <v>0.10959861968761347</v>
      </c>
      <c r="K935" s="95" t="s">
        <v>217</v>
      </c>
      <c r="L935" s="119">
        <v>56.14</v>
      </c>
      <c r="M935" s="41">
        <f t="shared" si="155"/>
        <v>53.847</v>
      </c>
      <c r="N935" s="118">
        <v>71.25</v>
      </c>
      <c r="O935" s="116"/>
      <c r="P935" s="116" t="s">
        <v>169</v>
      </c>
      <c r="Q935" s="117"/>
      <c r="R935" s="118"/>
      <c r="S935" s="117"/>
      <c r="T935" s="116"/>
      <c r="V935" s="15"/>
    </row>
    <row r="936" spans="1:23" s="114" customFormat="1" ht="15">
      <c r="A936" s="12" t="s">
        <v>169</v>
      </c>
      <c r="B936" s="65">
        <v>42103.433333333334</v>
      </c>
      <c r="C936" s="14">
        <v>59.27</v>
      </c>
      <c r="D936" s="15">
        <v>125</v>
      </c>
      <c r="E936" s="15">
        <f t="shared" si="151"/>
        <v>7419.75</v>
      </c>
      <c r="F936" s="13"/>
      <c r="G936" s="14">
        <v>64.31</v>
      </c>
      <c r="H936" s="15">
        <f t="shared" si="152"/>
        <v>8038.75</v>
      </c>
      <c r="I936" s="16">
        <f t="shared" si="153"/>
        <v>619</v>
      </c>
      <c r="J936" s="19">
        <f t="shared" si="154"/>
        <v>0.08342599144176016</v>
      </c>
      <c r="K936" s="95" t="s">
        <v>216</v>
      </c>
      <c r="L936" s="119">
        <v>56.14</v>
      </c>
      <c r="M936" s="41">
        <f t="shared" si="155"/>
        <v>55.121100000000006</v>
      </c>
      <c r="N936" s="118">
        <v>71.25</v>
      </c>
      <c r="O936" s="116"/>
      <c r="P936" s="116" t="s">
        <v>169</v>
      </c>
      <c r="Q936" s="117"/>
      <c r="R936" s="118"/>
      <c r="S936" s="117"/>
      <c r="T936" s="116"/>
      <c r="V936" s="15"/>
      <c r="W936" s="29"/>
    </row>
    <row r="937" spans="1:23" s="114" customFormat="1" ht="15">
      <c r="A937" s="12" t="s">
        <v>169</v>
      </c>
      <c r="B937" s="65">
        <v>42173.30486111111</v>
      </c>
      <c r="C937" s="14">
        <v>62.25</v>
      </c>
      <c r="D937" s="15">
        <v>65</v>
      </c>
      <c r="E937" s="15">
        <f t="shared" si="151"/>
        <v>4057.25</v>
      </c>
      <c r="F937" s="13"/>
      <c r="G937" s="14">
        <v>64.31</v>
      </c>
      <c r="H937" s="15">
        <f t="shared" si="152"/>
        <v>4180.150000000001</v>
      </c>
      <c r="I937" s="16">
        <f t="shared" si="153"/>
        <v>122.90000000000055</v>
      </c>
      <c r="J937" s="19">
        <f t="shared" si="154"/>
        <v>0.030291453570768512</v>
      </c>
      <c r="K937" s="95" t="s">
        <v>270</v>
      </c>
      <c r="L937" s="119"/>
      <c r="M937" s="20">
        <f t="shared" si="155"/>
        <v>57.892500000000005</v>
      </c>
      <c r="N937" s="118">
        <v>71.25</v>
      </c>
      <c r="O937" s="116"/>
      <c r="P937" s="116" t="s">
        <v>169</v>
      </c>
      <c r="Q937" s="117"/>
      <c r="R937" s="118"/>
      <c r="S937" s="117"/>
      <c r="T937" s="116"/>
      <c r="V937" s="15"/>
      <c r="W937" s="29"/>
    </row>
    <row r="938" spans="1:23" s="114" customFormat="1" ht="15">
      <c r="A938" s="85" t="s">
        <v>169</v>
      </c>
      <c r="B938" s="65">
        <v>42185.43472222222</v>
      </c>
      <c r="C938" s="14">
        <v>65.19</v>
      </c>
      <c r="D938" s="15">
        <v>140</v>
      </c>
      <c r="E938" s="15">
        <f t="shared" si="151"/>
        <v>9137.6</v>
      </c>
      <c r="F938" s="13"/>
      <c r="G938" s="14">
        <v>66.52</v>
      </c>
      <c r="H938" s="15">
        <f t="shared" si="152"/>
        <v>9312.8</v>
      </c>
      <c r="I938" s="16">
        <f t="shared" si="153"/>
        <v>175.1999999999989</v>
      </c>
      <c r="J938" s="19">
        <f t="shared" si="154"/>
        <v>0.019173524776746508</v>
      </c>
      <c r="K938" s="95" t="s">
        <v>278</v>
      </c>
      <c r="L938" s="119"/>
      <c r="M938" s="20">
        <f t="shared" si="155"/>
        <v>60.6267</v>
      </c>
      <c r="N938" s="118">
        <v>71.25</v>
      </c>
      <c r="O938" s="116"/>
      <c r="P938" s="116" t="s">
        <v>169</v>
      </c>
      <c r="Q938" s="117"/>
      <c r="R938" s="118"/>
      <c r="S938" s="117"/>
      <c r="T938" s="116"/>
      <c r="V938" s="15"/>
      <c r="W938" s="29"/>
    </row>
    <row r="939" spans="1:22" s="114" customFormat="1" ht="15">
      <c r="A939" s="12" t="s">
        <v>208</v>
      </c>
      <c r="B939" s="65">
        <v>42090.308333333334</v>
      </c>
      <c r="C939" s="14">
        <v>214</v>
      </c>
      <c r="D939" s="15">
        <v>95</v>
      </c>
      <c r="E939" s="15">
        <f t="shared" si="151"/>
        <v>20341</v>
      </c>
      <c r="F939" s="13"/>
      <c r="G939" s="14">
        <v>232.41</v>
      </c>
      <c r="H939" s="15">
        <f t="shared" si="152"/>
        <v>22078.95</v>
      </c>
      <c r="I939" s="16">
        <f t="shared" si="153"/>
        <v>1737.9500000000007</v>
      </c>
      <c r="J939" s="19">
        <f t="shared" si="154"/>
        <v>0.08544073546040021</v>
      </c>
      <c r="K939" s="95" t="s">
        <v>212</v>
      </c>
      <c r="L939" s="119"/>
      <c r="M939" s="20">
        <f t="shared" si="155"/>
        <v>199.02</v>
      </c>
      <c r="N939" s="118">
        <v>267.7</v>
      </c>
      <c r="O939" s="121">
        <v>42136</v>
      </c>
      <c r="P939" s="116" t="s">
        <v>208</v>
      </c>
      <c r="Q939" s="117">
        <v>233.84</v>
      </c>
      <c r="R939" s="118">
        <f>Q939*0.855</f>
        <v>199.9332</v>
      </c>
      <c r="S939" s="117">
        <f>1.11*C939</f>
        <v>237.54000000000002</v>
      </c>
      <c r="T939" s="116"/>
      <c r="U939" s="117"/>
      <c r="V939" s="15"/>
    </row>
    <row r="940" spans="1:22" s="114" customFormat="1" ht="15">
      <c r="A940" s="12" t="s">
        <v>208</v>
      </c>
      <c r="B940" s="65">
        <v>42093.29305555556</v>
      </c>
      <c r="C940" s="14">
        <v>219.41</v>
      </c>
      <c r="D940" s="15">
        <v>55</v>
      </c>
      <c r="E940" s="15">
        <f t="shared" si="151"/>
        <v>12078.55</v>
      </c>
      <c r="F940" s="13"/>
      <c r="G940" s="14">
        <v>232.41</v>
      </c>
      <c r="H940" s="15">
        <f t="shared" si="152"/>
        <v>12782.55</v>
      </c>
      <c r="I940" s="16">
        <f t="shared" si="153"/>
        <v>704</v>
      </c>
      <c r="J940" s="19">
        <f t="shared" si="154"/>
        <v>0.05828514184235691</v>
      </c>
      <c r="K940" s="95" t="s">
        <v>211</v>
      </c>
      <c r="L940" s="119"/>
      <c r="M940" s="20">
        <f t="shared" si="155"/>
        <v>204.0513</v>
      </c>
      <c r="N940" s="118">
        <v>267.7</v>
      </c>
      <c r="O940" s="116"/>
      <c r="P940" s="116" t="s">
        <v>208</v>
      </c>
      <c r="Q940" s="117"/>
      <c r="R940" s="118"/>
      <c r="S940" s="117"/>
      <c r="T940" s="116"/>
      <c r="V940" s="15"/>
    </row>
    <row r="941" spans="1:23" s="114" customFormat="1" ht="15">
      <c r="A941" s="12" t="s">
        <v>208</v>
      </c>
      <c r="B941" s="65">
        <v>42117.27569444444</v>
      </c>
      <c r="C941" s="14">
        <v>226.35</v>
      </c>
      <c r="D941" s="15">
        <v>35</v>
      </c>
      <c r="E941" s="15">
        <f t="shared" si="151"/>
        <v>7933.25</v>
      </c>
      <c r="F941" s="13"/>
      <c r="G941" s="14">
        <v>232.41</v>
      </c>
      <c r="H941" s="15">
        <f t="shared" si="152"/>
        <v>8134.349999999999</v>
      </c>
      <c r="I941" s="16">
        <f t="shared" si="153"/>
        <v>201.09999999999945</v>
      </c>
      <c r="J941" s="19">
        <f t="shared" si="154"/>
        <v>0.02534900576686723</v>
      </c>
      <c r="K941" s="95" t="s">
        <v>236</v>
      </c>
      <c r="L941" s="119"/>
      <c r="M941" s="20">
        <f t="shared" si="155"/>
        <v>210.5055</v>
      </c>
      <c r="N941" s="118">
        <v>267.7</v>
      </c>
      <c r="O941" s="116"/>
      <c r="P941" s="116" t="s">
        <v>208</v>
      </c>
      <c r="Q941" s="117"/>
      <c r="R941" s="118"/>
      <c r="S941" s="117"/>
      <c r="T941" s="116"/>
      <c r="V941" s="15"/>
      <c r="W941" s="29"/>
    </row>
    <row r="942" spans="1:23" s="114" customFormat="1" ht="15">
      <c r="A942" s="12" t="s">
        <v>66</v>
      </c>
      <c r="B942" s="65">
        <v>42156.31875</v>
      </c>
      <c r="C942" s="14">
        <v>41</v>
      </c>
      <c r="D942" s="15">
        <v>1900</v>
      </c>
      <c r="E942" s="15">
        <f t="shared" si="151"/>
        <v>77911</v>
      </c>
      <c r="F942" s="13"/>
      <c r="G942" s="14">
        <v>43.99</v>
      </c>
      <c r="H942" s="15">
        <f t="shared" si="152"/>
        <v>83581</v>
      </c>
      <c r="I942" s="16">
        <f t="shared" si="153"/>
        <v>5670</v>
      </c>
      <c r="J942" s="19">
        <f t="shared" si="154"/>
        <v>0.0727753462283888</v>
      </c>
      <c r="K942" s="95" t="s">
        <v>256</v>
      </c>
      <c r="L942" s="119">
        <v>39.8</v>
      </c>
      <c r="M942" s="41">
        <f t="shared" si="155"/>
        <v>38.13</v>
      </c>
      <c r="N942" s="118">
        <v>52.13</v>
      </c>
      <c r="O942" s="116"/>
      <c r="P942" s="116" t="s">
        <v>66</v>
      </c>
      <c r="Q942" s="117">
        <v>46.55</v>
      </c>
      <c r="R942" s="118">
        <f>Q942*0.855</f>
        <v>39.80025</v>
      </c>
      <c r="S942" s="117">
        <f>1.11*C942</f>
        <v>45.510000000000005</v>
      </c>
      <c r="T942" s="116"/>
      <c r="V942" s="15"/>
      <c r="W942" s="29"/>
    </row>
    <row r="943" spans="1:23" s="114" customFormat="1" ht="15">
      <c r="A943" s="12" t="s">
        <v>66</v>
      </c>
      <c r="B943" s="65">
        <v>42158.308333333334</v>
      </c>
      <c r="C943" s="14">
        <v>42.1</v>
      </c>
      <c r="D943" s="15">
        <v>1100</v>
      </c>
      <c r="E943" s="15">
        <f t="shared" si="151"/>
        <v>46321</v>
      </c>
      <c r="F943" s="13"/>
      <c r="G943" s="14">
        <v>43.99</v>
      </c>
      <c r="H943" s="15">
        <f t="shared" si="152"/>
        <v>48389</v>
      </c>
      <c r="I943" s="16">
        <f t="shared" si="153"/>
        <v>2068</v>
      </c>
      <c r="J943" s="19">
        <f t="shared" si="154"/>
        <v>0.044644977440037995</v>
      </c>
      <c r="K943" s="95" t="s">
        <v>261</v>
      </c>
      <c r="L943" s="119">
        <v>39.8</v>
      </c>
      <c r="M943" s="41">
        <f t="shared" si="155"/>
        <v>39.153000000000006</v>
      </c>
      <c r="N943" s="118">
        <v>52.13</v>
      </c>
      <c r="O943" s="116"/>
      <c r="P943" s="116" t="s">
        <v>66</v>
      </c>
      <c r="Q943" s="117"/>
      <c r="R943" s="118"/>
      <c r="S943" s="117"/>
      <c r="T943" s="116"/>
      <c r="V943" s="15"/>
      <c r="W943" s="29"/>
    </row>
    <row r="944" spans="1:23" s="114" customFormat="1" ht="15">
      <c r="A944" s="12" t="s">
        <v>66</v>
      </c>
      <c r="B944" s="65">
        <v>41798.27222222222</v>
      </c>
      <c r="C944" s="14">
        <v>43.43</v>
      </c>
      <c r="D944" s="15">
        <v>700</v>
      </c>
      <c r="E944" s="15">
        <f t="shared" si="151"/>
        <v>30412</v>
      </c>
      <c r="F944" s="13"/>
      <c r="G944" s="14">
        <v>43.99</v>
      </c>
      <c r="H944" s="15">
        <f t="shared" si="152"/>
        <v>30793</v>
      </c>
      <c r="I944" s="16">
        <f t="shared" si="153"/>
        <v>381</v>
      </c>
      <c r="J944" s="19">
        <f t="shared" si="154"/>
        <v>0.01252794949362094</v>
      </c>
      <c r="K944" s="95" t="s">
        <v>260</v>
      </c>
      <c r="L944" s="119"/>
      <c r="M944" s="20">
        <f t="shared" si="155"/>
        <v>40.389900000000004</v>
      </c>
      <c r="N944" s="118">
        <v>52.13</v>
      </c>
      <c r="O944" s="116"/>
      <c r="P944" s="116" t="s">
        <v>66</v>
      </c>
      <c r="Q944" s="117"/>
      <c r="R944" s="118"/>
      <c r="S944" s="117"/>
      <c r="T944" s="116"/>
      <c r="V944" s="15"/>
      <c r="W944" s="29"/>
    </row>
    <row r="945" spans="1:23" s="114" customFormat="1" ht="15">
      <c r="A945" s="12" t="s">
        <v>59</v>
      </c>
      <c r="B945" s="65">
        <v>42164.36944444444</v>
      </c>
      <c r="C945" s="14">
        <v>47.25</v>
      </c>
      <c r="D945" s="15">
        <v>1600</v>
      </c>
      <c r="E945" s="15">
        <f t="shared" si="151"/>
        <v>75611</v>
      </c>
      <c r="F945" s="13"/>
      <c r="G945" s="14">
        <v>53.7</v>
      </c>
      <c r="H945" s="15">
        <f t="shared" si="152"/>
        <v>85920</v>
      </c>
      <c r="I945" s="16">
        <f t="shared" si="153"/>
        <v>10309</v>
      </c>
      <c r="J945" s="19">
        <f t="shared" si="154"/>
        <v>0.1363425956540715</v>
      </c>
      <c r="K945" s="95" t="s">
        <v>263</v>
      </c>
      <c r="L945" s="119">
        <v>47.54</v>
      </c>
      <c r="M945" s="41">
        <f t="shared" si="155"/>
        <v>43.9425</v>
      </c>
      <c r="N945" s="118">
        <v>60.98</v>
      </c>
      <c r="O945" s="121">
        <v>42223</v>
      </c>
      <c r="P945" s="116" t="s">
        <v>59</v>
      </c>
      <c r="Q945" s="117">
        <v>55.6</v>
      </c>
      <c r="R945" s="118">
        <f>Q945*0.855</f>
        <v>47.538</v>
      </c>
      <c r="S945" s="117">
        <f>1.11*C945</f>
        <v>52.447500000000005</v>
      </c>
      <c r="T945" s="116"/>
      <c r="V945" s="15"/>
      <c r="W945" s="29"/>
    </row>
    <row r="946" spans="1:23" s="114" customFormat="1" ht="15">
      <c r="A946" s="12" t="s">
        <v>59</v>
      </c>
      <c r="B946" s="65">
        <v>42164.478472222225</v>
      </c>
      <c r="C946" s="14">
        <v>48.3</v>
      </c>
      <c r="D946" s="15">
        <v>1000</v>
      </c>
      <c r="E946" s="15">
        <f t="shared" si="151"/>
        <v>48311</v>
      </c>
      <c r="F946" s="13"/>
      <c r="G946" s="14">
        <v>53.7</v>
      </c>
      <c r="H946" s="15">
        <f t="shared" si="152"/>
        <v>53700</v>
      </c>
      <c r="I946" s="16">
        <f t="shared" si="153"/>
        <v>5389</v>
      </c>
      <c r="J946" s="19">
        <f t="shared" si="154"/>
        <v>0.11154809463683218</v>
      </c>
      <c r="K946" s="95" t="s">
        <v>265</v>
      </c>
      <c r="L946" s="119">
        <v>47.54</v>
      </c>
      <c r="M946" s="41">
        <f t="shared" si="155"/>
        <v>44.919</v>
      </c>
      <c r="N946" s="118">
        <v>60.98</v>
      </c>
      <c r="O946" s="116"/>
      <c r="P946" s="116" t="s">
        <v>59</v>
      </c>
      <c r="Q946" s="117"/>
      <c r="R946" s="118"/>
      <c r="S946" s="117"/>
      <c r="T946" s="116"/>
      <c r="V946" s="15"/>
      <c r="W946" s="29"/>
    </row>
    <row r="947" spans="1:23" s="114" customFormat="1" ht="15">
      <c r="A947" s="12" t="s">
        <v>59</v>
      </c>
      <c r="B947" s="65">
        <v>42166.291666666664</v>
      </c>
      <c r="C947" s="14">
        <v>49.14</v>
      </c>
      <c r="D947" s="15">
        <v>600</v>
      </c>
      <c r="E947" s="15">
        <f t="shared" si="151"/>
        <v>29495</v>
      </c>
      <c r="F947" s="13"/>
      <c r="G947" s="14">
        <v>53.7</v>
      </c>
      <c r="H947" s="15">
        <f t="shared" si="152"/>
        <v>32220</v>
      </c>
      <c r="I947" s="16">
        <f t="shared" si="153"/>
        <v>2725</v>
      </c>
      <c r="J947" s="19">
        <f t="shared" si="154"/>
        <v>0.09238854043058145</v>
      </c>
      <c r="K947" s="95" t="s">
        <v>264</v>
      </c>
      <c r="L947" s="119">
        <v>47.54</v>
      </c>
      <c r="M947" s="41">
        <f t="shared" si="155"/>
        <v>45.7002</v>
      </c>
      <c r="N947" s="118">
        <v>60.98</v>
      </c>
      <c r="O947" s="116"/>
      <c r="P947" s="116" t="s">
        <v>59</v>
      </c>
      <c r="Q947" s="117"/>
      <c r="R947" s="118"/>
      <c r="S947" s="117"/>
      <c r="T947" s="116"/>
      <c r="V947" s="15"/>
      <c r="W947" s="29"/>
    </row>
    <row r="948" spans="1:23" s="114" customFormat="1" ht="15">
      <c r="A948" s="12" t="s">
        <v>48</v>
      </c>
      <c r="B948" s="65">
        <v>42174.53472222222</v>
      </c>
      <c r="C948" s="14">
        <v>82.6</v>
      </c>
      <c r="D948" s="15">
        <v>950</v>
      </c>
      <c r="E948" s="15">
        <f t="shared" si="151"/>
        <v>78481</v>
      </c>
      <c r="F948" s="13"/>
      <c r="G948" s="14">
        <v>88.01</v>
      </c>
      <c r="H948" s="15">
        <f t="shared" si="152"/>
        <v>83609.5</v>
      </c>
      <c r="I948" s="16">
        <f t="shared" si="153"/>
        <v>5128.5</v>
      </c>
      <c r="J948" s="19">
        <f t="shared" si="154"/>
        <v>0.06534702666887526</v>
      </c>
      <c r="K948" s="95" t="s">
        <v>272</v>
      </c>
      <c r="L948" s="119"/>
      <c r="M948" s="20">
        <f t="shared" si="155"/>
        <v>76.818</v>
      </c>
      <c r="N948" s="117">
        <v>103.69</v>
      </c>
      <c r="O948" s="121">
        <v>42230</v>
      </c>
      <c r="P948" s="116" t="s">
        <v>48</v>
      </c>
      <c r="R948" s="118"/>
      <c r="S948" s="117">
        <f>1.11*C948</f>
        <v>91.686</v>
      </c>
      <c r="T948" s="116"/>
      <c r="V948" s="15"/>
      <c r="W948" s="29"/>
    </row>
    <row r="949" spans="1:23" s="114" customFormat="1" ht="15">
      <c r="A949" s="85" t="s">
        <v>48</v>
      </c>
      <c r="B949" s="65">
        <v>42177.37013888889</v>
      </c>
      <c r="C949" s="14">
        <v>84.55</v>
      </c>
      <c r="D949" s="15">
        <v>550</v>
      </c>
      <c r="E949" s="15">
        <f t="shared" si="151"/>
        <v>46513.5</v>
      </c>
      <c r="F949" s="13"/>
      <c r="G949" s="14">
        <v>88.01</v>
      </c>
      <c r="H949" s="15">
        <f t="shared" si="152"/>
        <v>48405.5</v>
      </c>
      <c r="I949" s="16">
        <f t="shared" si="153"/>
        <v>1892</v>
      </c>
      <c r="J949" s="19">
        <f t="shared" si="154"/>
        <v>0.04067636277639825</v>
      </c>
      <c r="K949" s="95" t="s">
        <v>274</v>
      </c>
      <c r="L949" s="119"/>
      <c r="M949" s="20">
        <f t="shared" si="155"/>
        <v>78.6315</v>
      </c>
      <c r="N949" s="117">
        <v>103.69</v>
      </c>
      <c r="O949" s="116"/>
      <c r="P949" s="116" t="s">
        <v>48</v>
      </c>
      <c r="Q949" s="117"/>
      <c r="R949" s="118"/>
      <c r="S949" s="117"/>
      <c r="T949" s="116"/>
      <c r="V949" s="15"/>
      <c r="W949" s="29"/>
    </row>
    <row r="950" spans="1:23" s="114" customFormat="1" ht="15">
      <c r="A950" s="85" t="s">
        <v>48</v>
      </c>
      <c r="B950" s="65">
        <v>42178.302777777775</v>
      </c>
      <c r="C950" s="14">
        <v>86.26</v>
      </c>
      <c r="D950" s="15">
        <v>350</v>
      </c>
      <c r="E950" s="15">
        <f t="shared" si="151"/>
        <v>30202</v>
      </c>
      <c r="F950" s="13"/>
      <c r="G950" s="14">
        <v>88.01</v>
      </c>
      <c r="H950" s="15">
        <f t="shared" si="152"/>
        <v>30803.5</v>
      </c>
      <c r="I950" s="16">
        <f t="shared" si="153"/>
        <v>601.5</v>
      </c>
      <c r="J950" s="19">
        <f t="shared" si="154"/>
        <v>0.019915899609297398</v>
      </c>
      <c r="K950" s="95" t="s">
        <v>275</v>
      </c>
      <c r="L950" s="119"/>
      <c r="M950" s="20">
        <f t="shared" si="155"/>
        <v>80.22180000000002</v>
      </c>
      <c r="N950" s="117">
        <v>103.69</v>
      </c>
      <c r="O950" s="116"/>
      <c r="P950" s="116" t="s">
        <v>48</v>
      </c>
      <c r="Q950" s="117"/>
      <c r="R950" s="118"/>
      <c r="S950" s="117"/>
      <c r="T950" s="116"/>
      <c r="V950" s="15"/>
      <c r="W950" s="29"/>
    </row>
    <row r="951" spans="1:20" s="114" customFormat="1" ht="15">
      <c r="A951" s="12"/>
      <c r="B951" s="13"/>
      <c r="C951" s="14"/>
      <c r="D951" s="15"/>
      <c r="E951" s="15"/>
      <c r="F951" s="13"/>
      <c r="G951" s="14"/>
      <c r="H951" s="15"/>
      <c r="I951" s="16"/>
      <c r="J951" s="19"/>
      <c r="K951" s="95"/>
      <c r="L951" s="119"/>
      <c r="M951" s="32"/>
      <c r="N951" s="118"/>
      <c r="Q951" s="117"/>
      <c r="R951" s="117"/>
      <c r="S951" s="117"/>
      <c r="T951" s="116"/>
    </row>
    <row r="952" spans="1:20" s="114" customFormat="1" ht="15">
      <c r="A952" s="21" t="s">
        <v>14</v>
      </c>
      <c r="B952" s="22"/>
      <c r="C952" s="23"/>
      <c r="D952" s="24"/>
      <c r="E952" s="24">
        <f>SUM(E922:E951)</f>
        <v>669177.7</v>
      </c>
      <c r="F952" s="22"/>
      <c r="G952" s="23"/>
      <c r="H952" s="24">
        <f>SUM(H922:H951)</f>
        <v>759995.55</v>
      </c>
      <c r="I952" s="25">
        <f>SUM(I922:I951)</f>
        <v>90817.85</v>
      </c>
      <c r="J952" s="26">
        <f>I952/E952</f>
        <v>0.13571559542405554</v>
      </c>
      <c r="K952" s="27" t="s">
        <v>15</v>
      </c>
      <c r="L952" s="28">
        <f>100000+I954</f>
        <v>349843.91</v>
      </c>
      <c r="M952" s="81"/>
      <c r="N952" s="89"/>
      <c r="Q952" s="117"/>
      <c r="R952" s="117"/>
      <c r="S952" s="117"/>
      <c r="T952" s="116"/>
    </row>
    <row r="953" spans="1:20" s="114" customFormat="1" ht="15">
      <c r="A953" s="12" t="s">
        <v>67</v>
      </c>
      <c r="B953" s="22"/>
      <c r="C953" s="25">
        <f>I954-I917</f>
        <v>6892.299999999988</v>
      </c>
      <c r="D953" s="26">
        <f>C953/H915</f>
        <v>0.009502539185238213</v>
      </c>
      <c r="E953" s="24"/>
      <c r="F953" s="22" t="s">
        <v>16</v>
      </c>
      <c r="G953" s="117"/>
      <c r="H953" s="29" t="str">
        <f>IF(ABS(H952-E952-I952)&lt;1,"","ERROR")</f>
        <v/>
      </c>
      <c r="I953" s="16">
        <v>159026.05999999997</v>
      </c>
      <c r="J953" s="26"/>
      <c r="K953" s="111" t="s">
        <v>17</v>
      </c>
      <c r="L953" s="28">
        <f>(2*(100000+I954))-E952</f>
        <v>30510.119999999995</v>
      </c>
      <c r="M953" s="31"/>
      <c r="Q953" s="117"/>
      <c r="R953" s="117"/>
      <c r="S953" s="117"/>
      <c r="T953" s="116"/>
    </row>
    <row r="954" spans="1:20" s="114" customFormat="1" ht="15">
      <c r="A954" s="12" t="s">
        <v>54</v>
      </c>
      <c r="B954" s="22"/>
      <c r="C954" s="25">
        <f>L952-L915</f>
        <v>6892.299999999988</v>
      </c>
      <c r="D954" s="26">
        <f>C954/L915</f>
        <v>0.02009700435580398</v>
      </c>
      <c r="E954" s="24"/>
      <c r="F954" s="22" t="s">
        <v>18</v>
      </c>
      <c r="G954" s="117"/>
      <c r="H954" s="29"/>
      <c r="I954" s="30">
        <f>I952+I953</f>
        <v>249843.90999999997</v>
      </c>
      <c r="J954" s="26">
        <f>I954/100000</f>
        <v>2.4984390999999997</v>
      </c>
      <c r="K954" s="111" t="s">
        <v>19</v>
      </c>
      <c r="L954" s="26">
        <f>E952/(2*(100000+I954))</f>
        <v>0.9563946675533097</v>
      </c>
      <c r="M954" s="31"/>
      <c r="Q954" s="117"/>
      <c r="R954" s="117"/>
      <c r="S954" s="117"/>
      <c r="T954" s="116"/>
    </row>
    <row r="955" spans="1:20" s="114" customFormat="1" ht="15">
      <c r="A955" s="114">
        <v>7</v>
      </c>
      <c r="B955" s="22"/>
      <c r="C955" s="25"/>
      <c r="D955" s="26"/>
      <c r="E955" s="24"/>
      <c r="F955" s="22"/>
      <c r="G955" s="117"/>
      <c r="H955" s="29"/>
      <c r="I955" s="30"/>
      <c r="J955" s="26"/>
      <c r="K955" s="111"/>
      <c r="L955" s="26"/>
      <c r="M955" s="31"/>
      <c r="Q955" s="117"/>
      <c r="R955" s="117"/>
      <c r="S955" s="117"/>
      <c r="T955" s="116"/>
    </row>
    <row r="956" spans="2:20" s="114" customFormat="1" ht="15">
      <c r="B956" s="22"/>
      <c r="C956" s="25"/>
      <c r="D956" s="26"/>
      <c r="E956" s="24"/>
      <c r="F956" s="22"/>
      <c r="G956" s="117"/>
      <c r="H956" s="29"/>
      <c r="I956" s="30"/>
      <c r="J956" s="26"/>
      <c r="K956" s="111"/>
      <c r="L956" s="26"/>
      <c r="M956" s="31"/>
      <c r="Q956" s="117"/>
      <c r="R956" s="117"/>
      <c r="S956" s="117"/>
      <c r="T956" s="116"/>
    </row>
    <row r="957" spans="1:20" s="114" customFormat="1" ht="30.75" customHeight="1">
      <c r="A957" s="130" t="s">
        <v>62</v>
      </c>
      <c r="B957" s="384" t="s">
        <v>276</v>
      </c>
      <c r="C957" s="384"/>
      <c r="D957" s="384"/>
      <c r="E957" s="384"/>
      <c r="F957" s="384"/>
      <c r="G957" s="384"/>
      <c r="H957" s="384"/>
      <c r="I957" s="384"/>
      <c r="J957" s="384"/>
      <c r="K957" s="384"/>
      <c r="L957" s="384"/>
      <c r="M957" s="384"/>
      <c r="N957" s="384"/>
      <c r="O957" s="92"/>
      <c r="P957" s="92"/>
      <c r="Q957" s="104"/>
      <c r="R957" s="104"/>
      <c r="S957" s="107"/>
      <c r="T957" s="109"/>
    </row>
    <row r="958" spans="1:22" s="114" customFormat="1" ht="15">
      <c r="A958" s="2" t="s">
        <v>0</v>
      </c>
      <c r="B958" s="3" t="s">
        <v>1</v>
      </c>
      <c r="C958" s="4" t="s">
        <v>2</v>
      </c>
      <c r="D958" s="5" t="s">
        <v>3</v>
      </c>
      <c r="E958" s="6" t="s">
        <v>4</v>
      </c>
      <c r="F958" s="3" t="s">
        <v>5</v>
      </c>
      <c r="G958" s="7" t="s">
        <v>2</v>
      </c>
      <c r="H958" s="6" t="s">
        <v>6</v>
      </c>
      <c r="I958" s="6" t="s">
        <v>7</v>
      </c>
      <c r="J958" s="8" t="s">
        <v>8</v>
      </c>
      <c r="K958" s="9" t="s">
        <v>9</v>
      </c>
      <c r="L958" s="10" t="s">
        <v>10</v>
      </c>
      <c r="M958" s="11" t="s">
        <v>11</v>
      </c>
      <c r="N958" s="103" t="s">
        <v>53</v>
      </c>
      <c r="O958" s="105" t="s">
        <v>110</v>
      </c>
      <c r="P958" s="106" t="s">
        <v>0</v>
      </c>
      <c r="Q958" s="117" t="s">
        <v>13</v>
      </c>
      <c r="R958" s="117" t="s">
        <v>70</v>
      </c>
      <c r="S958" s="111" t="s">
        <v>103</v>
      </c>
      <c r="T958" s="116" t="s">
        <v>107</v>
      </c>
      <c r="V958" s="9"/>
    </row>
    <row r="959" spans="1:22" s="114" customFormat="1" ht="15">
      <c r="A959" s="12" t="s">
        <v>80</v>
      </c>
      <c r="B959" s="65">
        <v>42011.30486111111</v>
      </c>
      <c r="C959" s="14">
        <v>58.02</v>
      </c>
      <c r="D959" s="15">
        <v>250</v>
      </c>
      <c r="E959" s="15">
        <f aca="true" t="shared" si="156" ref="E959:E988">C959*D959+11</f>
        <v>14516</v>
      </c>
      <c r="F959" s="13"/>
      <c r="G959" s="14">
        <v>115.01</v>
      </c>
      <c r="H959" s="15">
        <f aca="true" t="shared" si="157" ref="H959:H988">G959*D959</f>
        <v>28752.5</v>
      </c>
      <c r="I959" s="16">
        <f aca="true" t="shared" si="158" ref="I959:I988">H959-E959</f>
        <v>14236.5</v>
      </c>
      <c r="J959" s="19">
        <f aca="true" t="shared" si="159" ref="J959:J988">I959/E959</f>
        <v>0.980745384403417</v>
      </c>
      <c r="K959" s="141" t="s">
        <v>239</v>
      </c>
      <c r="L959" s="140" t="s">
        <v>51</v>
      </c>
      <c r="M959" s="41">
        <f aca="true" t="shared" si="160" ref="M959:M988">C959*0.93</f>
        <v>53.958600000000004</v>
      </c>
      <c r="N959" s="118">
        <v>76.6</v>
      </c>
      <c r="O959" s="121">
        <v>42090</v>
      </c>
      <c r="P959" s="116" t="s">
        <v>80</v>
      </c>
      <c r="Q959" s="117">
        <v>116.54</v>
      </c>
      <c r="R959" s="118">
        <f>Q959*0.855</f>
        <v>99.6417</v>
      </c>
      <c r="S959" s="117">
        <f>1.11*C959</f>
        <v>64.40220000000001</v>
      </c>
      <c r="T959" s="116"/>
      <c r="U959" s="117"/>
      <c r="V959" s="15"/>
    </row>
    <row r="960" spans="1:22" s="114" customFormat="1" ht="15">
      <c r="A960" s="12" t="s">
        <v>80</v>
      </c>
      <c r="B960" s="65">
        <v>42011.40694444445</v>
      </c>
      <c r="C960" s="14">
        <v>59.16</v>
      </c>
      <c r="D960" s="15">
        <v>150</v>
      </c>
      <c r="E960" s="15">
        <f t="shared" si="156"/>
        <v>8885</v>
      </c>
      <c r="F960" s="13"/>
      <c r="G960" s="14">
        <v>115.01</v>
      </c>
      <c r="H960" s="15">
        <f t="shared" si="157"/>
        <v>17251.5</v>
      </c>
      <c r="I960" s="16">
        <f t="shared" si="158"/>
        <v>8366.5</v>
      </c>
      <c r="J960" s="122">
        <f t="shared" si="159"/>
        <v>0.9416432189082724</v>
      </c>
      <c r="K960" s="95" t="s">
        <v>82</v>
      </c>
      <c r="L960" s="140" t="s">
        <v>51</v>
      </c>
      <c r="M960" s="41">
        <f t="shared" si="160"/>
        <v>55.0188</v>
      </c>
      <c r="N960" s="118">
        <v>77.93</v>
      </c>
      <c r="O960" s="116"/>
      <c r="P960" s="116" t="s">
        <v>80</v>
      </c>
      <c r="Q960" s="117"/>
      <c r="R960" s="118"/>
      <c r="S960" s="117"/>
      <c r="T960" s="116"/>
      <c r="V960" s="15"/>
    </row>
    <row r="961" spans="1:22" s="114" customFormat="1" ht="15">
      <c r="A961" s="12" t="s">
        <v>80</v>
      </c>
      <c r="B961" s="65">
        <v>42012.29305555556</v>
      </c>
      <c r="C961" s="14">
        <v>60.3</v>
      </c>
      <c r="D961" s="15">
        <v>100</v>
      </c>
      <c r="E961" s="15">
        <f t="shared" si="156"/>
        <v>6041</v>
      </c>
      <c r="F961" s="13"/>
      <c r="G961" s="14">
        <v>115.01</v>
      </c>
      <c r="H961" s="15">
        <f t="shared" si="157"/>
        <v>11501</v>
      </c>
      <c r="I961" s="16">
        <f t="shared" si="158"/>
        <v>5460</v>
      </c>
      <c r="J961" s="19">
        <f t="shared" si="159"/>
        <v>0.9038238702201622</v>
      </c>
      <c r="K961" s="95" t="s">
        <v>83</v>
      </c>
      <c r="L961" s="140" t="s">
        <v>51</v>
      </c>
      <c r="M961" s="41">
        <f t="shared" si="160"/>
        <v>56.079</v>
      </c>
      <c r="N961" s="118">
        <v>77.93</v>
      </c>
      <c r="O961" s="116"/>
      <c r="P961" s="116" t="s">
        <v>80</v>
      </c>
      <c r="Q961" s="117"/>
      <c r="R961" s="118"/>
      <c r="S961" s="117"/>
      <c r="T961" s="116"/>
      <c r="V961" s="15"/>
    </row>
    <row r="962" spans="1:22" s="114" customFormat="1" ht="15">
      <c r="A962" s="12" t="s">
        <v>80</v>
      </c>
      <c r="B962" s="65">
        <v>42047.271527777775</v>
      </c>
      <c r="C962" s="14">
        <v>64.65</v>
      </c>
      <c r="D962" s="15">
        <v>100</v>
      </c>
      <c r="E962" s="15">
        <f t="shared" si="156"/>
        <v>6476.000000000001</v>
      </c>
      <c r="F962" s="13"/>
      <c r="G962" s="14">
        <v>115.01</v>
      </c>
      <c r="H962" s="15">
        <f t="shared" si="157"/>
        <v>11501</v>
      </c>
      <c r="I962" s="16">
        <f t="shared" si="158"/>
        <v>5024.999999999999</v>
      </c>
      <c r="J962" s="19">
        <f t="shared" si="159"/>
        <v>0.7759419394688076</v>
      </c>
      <c r="K962" s="95" t="s">
        <v>132</v>
      </c>
      <c r="L962" s="140" t="s">
        <v>51</v>
      </c>
      <c r="M962" s="41">
        <f t="shared" si="160"/>
        <v>60.12450000000001</v>
      </c>
      <c r="N962" s="118">
        <v>77.93</v>
      </c>
      <c r="O962" s="116"/>
      <c r="P962" s="116" t="s">
        <v>80</v>
      </c>
      <c r="Q962" s="117"/>
      <c r="R962" s="118"/>
      <c r="S962" s="117"/>
      <c r="T962" s="116"/>
      <c r="V962" s="15"/>
    </row>
    <row r="963" spans="1:22" s="114" customFormat="1" ht="15">
      <c r="A963" s="12" t="s">
        <v>80</v>
      </c>
      <c r="B963" s="65">
        <v>42081.34097222222</v>
      </c>
      <c r="C963" s="14">
        <v>70</v>
      </c>
      <c r="D963" s="15">
        <v>120</v>
      </c>
      <c r="E963" s="15">
        <f t="shared" si="156"/>
        <v>8411</v>
      </c>
      <c r="F963" s="13"/>
      <c r="G963" s="14">
        <v>115.01</v>
      </c>
      <c r="H963" s="15">
        <f t="shared" si="157"/>
        <v>13801.2</v>
      </c>
      <c r="I963" s="16">
        <f t="shared" si="158"/>
        <v>5390.200000000001</v>
      </c>
      <c r="J963" s="19">
        <f t="shared" si="159"/>
        <v>0.6408512661990252</v>
      </c>
      <c r="K963" s="95" t="s">
        <v>181</v>
      </c>
      <c r="L963" s="140" t="s">
        <v>51</v>
      </c>
      <c r="M963" s="41">
        <f t="shared" si="160"/>
        <v>65.10000000000001</v>
      </c>
      <c r="N963" s="118">
        <v>77.93</v>
      </c>
      <c r="O963" s="116"/>
      <c r="P963" s="116" t="s">
        <v>80</v>
      </c>
      <c r="Q963" s="117"/>
      <c r="R963" s="118"/>
      <c r="S963" s="117"/>
      <c r="T963" s="116"/>
      <c r="V963" s="15"/>
    </row>
    <row r="964" spans="1:22" s="114" customFormat="1" ht="15">
      <c r="A964" s="12" t="s">
        <v>80</v>
      </c>
      <c r="B964" s="65">
        <v>42117.55694444444</v>
      </c>
      <c r="C964" s="14">
        <v>77.75</v>
      </c>
      <c r="D964" s="15">
        <v>150</v>
      </c>
      <c r="E964" s="15">
        <f t="shared" si="156"/>
        <v>11673.5</v>
      </c>
      <c r="F964" s="13"/>
      <c r="G964" s="14">
        <v>115.01</v>
      </c>
      <c r="H964" s="15">
        <f t="shared" si="157"/>
        <v>17251.5</v>
      </c>
      <c r="I964" s="16">
        <f t="shared" si="158"/>
        <v>5578</v>
      </c>
      <c r="J964" s="19">
        <f t="shared" si="159"/>
        <v>0.477834411273397</v>
      </c>
      <c r="K964" s="95" t="s">
        <v>233</v>
      </c>
      <c r="L964" s="140" t="s">
        <v>51</v>
      </c>
      <c r="M964" s="41">
        <f t="shared" si="160"/>
        <v>72.3075</v>
      </c>
      <c r="N964" s="118">
        <v>77.93</v>
      </c>
      <c r="O964" s="116"/>
      <c r="P964" s="116" t="s">
        <v>80</v>
      </c>
      <c r="Q964" s="117"/>
      <c r="R964" s="118"/>
      <c r="S964" s="117"/>
      <c r="T964" s="116"/>
      <c r="V964" s="15"/>
    </row>
    <row r="965" spans="1:23" s="114" customFormat="1" ht="15">
      <c r="A965" s="12" t="s">
        <v>80</v>
      </c>
      <c r="B965" s="65">
        <v>42128.525</v>
      </c>
      <c r="C965" s="14">
        <v>93.09</v>
      </c>
      <c r="D965" s="15">
        <v>180</v>
      </c>
      <c r="E965" s="15">
        <f t="shared" si="156"/>
        <v>16767.2</v>
      </c>
      <c r="F965" s="13"/>
      <c r="G965" s="14">
        <v>115.01</v>
      </c>
      <c r="H965" s="15">
        <f t="shared" si="157"/>
        <v>20701.8</v>
      </c>
      <c r="I965" s="16">
        <f t="shared" si="158"/>
        <v>3934.5999999999985</v>
      </c>
      <c r="J965" s="19">
        <f t="shared" si="159"/>
        <v>0.23466052769693202</v>
      </c>
      <c r="K965" s="95" t="s">
        <v>244</v>
      </c>
      <c r="L965" s="140" t="s">
        <v>51</v>
      </c>
      <c r="M965" s="41">
        <f t="shared" si="160"/>
        <v>86.5737</v>
      </c>
      <c r="N965" s="118">
        <v>77.93</v>
      </c>
      <c r="O965" s="116"/>
      <c r="P965" s="116" t="s">
        <v>80</v>
      </c>
      <c r="Q965" s="117"/>
      <c r="R965" s="118"/>
      <c r="S965" s="117"/>
      <c r="T965" s="116"/>
      <c r="V965" s="15"/>
      <c r="W965" s="29"/>
    </row>
    <row r="966" spans="1:23" s="114" customFormat="1" ht="15">
      <c r="A966" s="85" t="s">
        <v>80</v>
      </c>
      <c r="B966" s="65">
        <v>42186.37847222222</v>
      </c>
      <c r="C966" s="14">
        <v>111.51</v>
      </c>
      <c r="D966" s="15">
        <v>320</v>
      </c>
      <c r="E966" s="15">
        <f t="shared" si="156"/>
        <v>35694.200000000004</v>
      </c>
      <c r="F966" s="13"/>
      <c r="G966" s="14">
        <v>115.01</v>
      </c>
      <c r="H966" s="15">
        <f t="shared" si="157"/>
        <v>36803.200000000004</v>
      </c>
      <c r="I966" s="16">
        <f t="shared" si="158"/>
        <v>1109</v>
      </c>
      <c r="J966" s="19">
        <f t="shared" si="159"/>
        <v>0.031069473471880583</v>
      </c>
      <c r="K966" s="95" t="s">
        <v>283</v>
      </c>
      <c r="L966" s="140" t="s">
        <v>51</v>
      </c>
      <c r="M966" s="41">
        <f t="shared" si="160"/>
        <v>103.7043</v>
      </c>
      <c r="N966" s="118">
        <v>77.93</v>
      </c>
      <c r="O966" s="116"/>
      <c r="P966" s="116" t="s">
        <v>80</v>
      </c>
      <c r="Q966" s="117"/>
      <c r="R966" s="118"/>
      <c r="S966" s="117"/>
      <c r="T966" s="116"/>
      <c r="V966" s="15"/>
      <c r="W966" s="29"/>
    </row>
    <row r="967" spans="1:22" s="114" customFormat="1" ht="15">
      <c r="A967" s="12" t="s">
        <v>61</v>
      </c>
      <c r="B967" s="65">
        <v>42040.27847222222</v>
      </c>
      <c r="C967" s="14">
        <v>132.85</v>
      </c>
      <c r="D967" s="15">
        <v>110</v>
      </c>
      <c r="E967" s="15">
        <f t="shared" si="156"/>
        <v>14624.5</v>
      </c>
      <c r="F967" s="65"/>
      <c r="G967" s="14">
        <v>156.23</v>
      </c>
      <c r="H967" s="15">
        <f t="shared" si="157"/>
        <v>17185.3</v>
      </c>
      <c r="I967" s="16">
        <f t="shared" si="158"/>
        <v>2560.7999999999993</v>
      </c>
      <c r="J967" s="19">
        <f t="shared" si="159"/>
        <v>0.1751034223392252</v>
      </c>
      <c r="K967" s="95" t="s">
        <v>134</v>
      </c>
      <c r="L967" s="119">
        <v>136.67</v>
      </c>
      <c r="M967" s="41">
        <f t="shared" si="160"/>
        <v>123.5505</v>
      </c>
      <c r="N967" s="118">
        <v>168.13</v>
      </c>
      <c r="O967" s="121">
        <v>42086</v>
      </c>
      <c r="P967" s="116" t="s">
        <v>61</v>
      </c>
      <c r="Q967" s="117">
        <v>159.85</v>
      </c>
      <c r="R967" s="118">
        <f>Q967*0.855</f>
        <v>136.67175</v>
      </c>
      <c r="S967" s="117">
        <f>1.11*C967</f>
        <v>147.4635</v>
      </c>
      <c r="T967" s="116"/>
      <c r="U967" s="117"/>
      <c r="V967" s="15"/>
    </row>
    <row r="968" spans="1:22" s="114" customFormat="1" ht="15">
      <c r="A968" s="12" t="s">
        <v>61</v>
      </c>
      <c r="B968" s="65">
        <v>42045.27291666667</v>
      </c>
      <c r="C968" s="14">
        <v>135.9</v>
      </c>
      <c r="D968" s="15">
        <v>65</v>
      </c>
      <c r="E968" s="15">
        <f t="shared" si="156"/>
        <v>8844.5</v>
      </c>
      <c r="F968" s="13"/>
      <c r="G968" s="14">
        <v>156.23</v>
      </c>
      <c r="H968" s="15">
        <f t="shared" si="157"/>
        <v>10154.949999999999</v>
      </c>
      <c r="I968" s="16">
        <f t="shared" si="158"/>
        <v>1310.449999999999</v>
      </c>
      <c r="J968" s="19">
        <f t="shared" si="159"/>
        <v>0.1481655265984509</v>
      </c>
      <c r="K968" s="95" t="s">
        <v>141</v>
      </c>
      <c r="L968" s="119">
        <v>136.67</v>
      </c>
      <c r="M968" s="41">
        <f t="shared" si="160"/>
        <v>126.38700000000001</v>
      </c>
      <c r="N968" s="118">
        <v>168.13</v>
      </c>
      <c r="O968" s="116"/>
      <c r="P968" s="116" t="s">
        <v>61</v>
      </c>
      <c r="Q968" s="117"/>
      <c r="R968" s="118"/>
      <c r="S968" s="117"/>
      <c r="T968" s="116"/>
      <c r="V968" s="15"/>
    </row>
    <row r="969" spans="1:22" s="114" customFormat="1" ht="15">
      <c r="A969" s="12" t="s">
        <v>61</v>
      </c>
      <c r="B969" s="65">
        <v>42054.277083333334</v>
      </c>
      <c r="C969" s="14">
        <v>139.17</v>
      </c>
      <c r="D969" s="15">
        <v>40</v>
      </c>
      <c r="E969" s="15">
        <f t="shared" si="156"/>
        <v>5577.799999999999</v>
      </c>
      <c r="F969" s="13"/>
      <c r="G969" s="14">
        <v>156.23</v>
      </c>
      <c r="H969" s="15">
        <f t="shared" si="157"/>
        <v>6249.2</v>
      </c>
      <c r="I969" s="16">
        <f t="shared" si="158"/>
        <v>671.4000000000005</v>
      </c>
      <c r="J969" s="19">
        <f t="shared" si="159"/>
        <v>0.12037003836638112</v>
      </c>
      <c r="K969" s="95" t="s">
        <v>140</v>
      </c>
      <c r="L969" s="119">
        <v>136.67</v>
      </c>
      <c r="M969" s="41">
        <f t="shared" si="160"/>
        <v>129.4281</v>
      </c>
      <c r="N969" s="118">
        <v>168.13</v>
      </c>
      <c r="O969" s="116"/>
      <c r="P969" s="116" t="s">
        <v>61</v>
      </c>
      <c r="Q969" s="117"/>
      <c r="R969" s="118"/>
      <c r="S969" s="117"/>
      <c r="T969" s="116"/>
      <c r="V969" s="15"/>
    </row>
    <row r="970" spans="1:22" s="114" customFormat="1" ht="15">
      <c r="A970" s="12" t="s">
        <v>61</v>
      </c>
      <c r="B970" s="65">
        <v>42075.56458333333</v>
      </c>
      <c r="C970" s="14">
        <v>154</v>
      </c>
      <c r="D970" s="15">
        <v>40</v>
      </c>
      <c r="E970" s="15">
        <f t="shared" si="156"/>
        <v>6171</v>
      </c>
      <c r="F970" s="13"/>
      <c r="G970" s="14">
        <v>156.23</v>
      </c>
      <c r="H970" s="15">
        <f t="shared" si="157"/>
        <v>6249.2</v>
      </c>
      <c r="I970" s="16">
        <f t="shared" si="158"/>
        <v>78.19999999999982</v>
      </c>
      <c r="J970" s="19">
        <f t="shared" si="159"/>
        <v>0.012672176308539916</v>
      </c>
      <c r="K970" s="95" t="s">
        <v>160</v>
      </c>
      <c r="L970" s="119"/>
      <c r="M970" s="20">
        <f t="shared" si="160"/>
        <v>143.22</v>
      </c>
      <c r="N970" s="118">
        <v>168.13</v>
      </c>
      <c r="O970" s="116"/>
      <c r="P970" s="116" t="s">
        <v>61</v>
      </c>
      <c r="Q970" s="117"/>
      <c r="R970" s="118"/>
      <c r="S970" s="117"/>
      <c r="T970" s="116"/>
      <c r="V970" s="15"/>
    </row>
    <row r="971" spans="1:23" s="114" customFormat="1" ht="15">
      <c r="A971" s="12" t="s">
        <v>61</v>
      </c>
      <c r="B971" s="65">
        <v>42109.27222222222</v>
      </c>
      <c r="C971" s="14">
        <v>156.13</v>
      </c>
      <c r="D971" s="15">
        <v>50</v>
      </c>
      <c r="E971" s="15">
        <f t="shared" si="156"/>
        <v>7817.5</v>
      </c>
      <c r="F971" s="13"/>
      <c r="G971" s="14">
        <v>156.23</v>
      </c>
      <c r="H971" s="15">
        <f t="shared" si="157"/>
        <v>7811.499999999999</v>
      </c>
      <c r="I971" s="16">
        <f t="shared" si="158"/>
        <v>-6.0000000000009095</v>
      </c>
      <c r="J971" s="19">
        <f t="shared" si="159"/>
        <v>-0.0007675087943717185</v>
      </c>
      <c r="K971" s="95" t="s">
        <v>221</v>
      </c>
      <c r="L971" s="119"/>
      <c r="M971" s="20">
        <f t="shared" si="160"/>
        <v>145.2009</v>
      </c>
      <c r="N971" s="118">
        <v>168.13</v>
      </c>
      <c r="O971" s="116"/>
      <c r="P971" s="116" t="s">
        <v>61</v>
      </c>
      <c r="Q971" s="117"/>
      <c r="R971" s="118"/>
      <c r="S971" s="117"/>
      <c r="T971" s="116"/>
      <c r="V971" s="15"/>
      <c r="W971" s="29"/>
    </row>
    <row r="972" spans="1:22" s="114" customFormat="1" ht="15">
      <c r="A972" s="12" t="s">
        <v>169</v>
      </c>
      <c r="B972" s="65">
        <v>42076.538194444445</v>
      </c>
      <c r="C972" s="14">
        <v>56.64</v>
      </c>
      <c r="D972" s="15">
        <v>320</v>
      </c>
      <c r="E972" s="15">
        <f t="shared" si="156"/>
        <v>18135.8</v>
      </c>
      <c r="F972" s="13"/>
      <c r="G972" s="14">
        <v>65.67</v>
      </c>
      <c r="H972" s="15">
        <f t="shared" si="157"/>
        <v>21014.4</v>
      </c>
      <c r="I972" s="16">
        <f t="shared" si="158"/>
        <v>2878.600000000002</v>
      </c>
      <c r="J972" s="19">
        <f t="shared" si="159"/>
        <v>0.15872473229744496</v>
      </c>
      <c r="K972" s="95" t="s">
        <v>170</v>
      </c>
      <c r="L972" s="119">
        <v>57.33</v>
      </c>
      <c r="M972" s="41">
        <f t="shared" si="160"/>
        <v>52.675200000000004</v>
      </c>
      <c r="N972" s="118">
        <v>71.25</v>
      </c>
      <c r="O972" s="121">
        <v>42132</v>
      </c>
      <c r="P972" s="116" t="s">
        <v>169</v>
      </c>
      <c r="Q972" s="117">
        <v>67.05</v>
      </c>
      <c r="R972" s="118">
        <f>Q972*0.855</f>
        <v>57.327749999999995</v>
      </c>
      <c r="S972" s="117">
        <f>1.11*C972</f>
        <v>62.870400000000004</v>
      </c>
      <c r="T972" s="116"/>
      <c r="U972" s="117"/>
      <c r="V972" s="15"/>
    </row>
    <row r="973" spans="1:22" s="114" customFormat="1" ht="15">
      <c r="A973" s="12" t="s">
        <v>169</v>
      </c>
      <c r="B973" s="65">
        <v>42082.302777777775</v>
      </c>
      <c r="C973" s="14">
        <v>57.9</v>
      </c>
      <c r="D973" s="15">
        <v>190</v>
      </c>
      <c r="E973" s="15">
        <f t="shared" si="156"/>
        <v>11012</v>
      </c>
      <c r="F973" s="13"/>
      <c r="G973" s="14">
        <v>65.67</v>
      </c>
      <c r="H973" s="15">
        <f t="shared" si="157"/>
        <v>12477.300000000001</v>
      </c>
      <c r="I973" s="16">
        <f t="shared" si="158"/>
        <v>1465.300000000001</v>
      </c>
      <c r="J973" s="19">
        <f t="shared" si="159"/>
        <v>0.13306393025790056</v>
      </c>
      <c r="K973" s="95" t="s">
        <v>217</v>
      </c>
      <c r="L973" s="119">
        <v>57.33</v>
      </c>
      <c r="M973" s="41">
        <f t="shared" si="160"/>
        <v>53.847</v>
      </c>
      <c r="N973" s="118">
        <v>71.25</v>
      </c>
      <c r="O973" s="116"/>
      <c r="P973" s="116" t="s">
        <v>169</v>
      </c>
      <c r="Q973" s="117"/>
      <c r="R973" s="118"/>
      <c r="S973" s="117"/>
      <c r="T973" s="116"/>
      <c r="V973" s="15"/>
    </row>
    <row r="974" spans="1:23" s="114" customFormat="1" ht="15">
      <c r="A974" s="12" t="s">
        <v>169</v>
      </c>
      <c r="B974" s="65">
        <v>42103.433333333334</v>
      </c>
      <c r="C974" s="14">
        <v>59.27</v>
      </c>
      <c r="D974" s="15">
        <v>125</v>
      </c>
      <c r="E974" s="15">
        <f t="shared" si="156"/>
        <v>7419.75</v>
      </c>
      <c r="F974" s="13"/>
      <c r="G974" s="14">
        <v>65.67</v>
      </c>
      <c r="H974" s="15">
        <f t="shared" si="157"/>
        <v>8208.75</v>
      </c>
      <c r="I974" s="16">
        <f t="shared" si="158"/>
        <v>789</v>
      </c>
      <c r="J974" s="19">
        <f t="shared" si="159"/>
        <v>0.10633781461639544</v>
      </c>
      <c r="K974" s="95" t="s">
        <v>216</v>
      </c>
      <c r="L974" s="119">
        <v>57.33</v>
      </c>
      <c r="M974" s="41">
        <f t="shared" si="160"/>
        <v>55.121100000000006</v>
      </c>
      <c r="N974" s="118">
        <v>71.25</v>
      </c>
      <c r="O974" s="116"/>
      <c r="P974" s="116" t="s">
        <v>169</v>
      </c>
      <c r="Q974" s="117"/>
      <c r="R974" s="118"/>
      <c r="S974" s="117"/>
      <c r="T974" s="116"/>
      <c r="V974" s="15"/>
      <c r="W974" s="29"/>
    </row>
    <row r="975" spans="1:23" s="114" customFormat="1" ht="15">
      <c r="A975" s="12" t="s">
        <v>169</v>
      </c>
      <c r="B975" s="65">
        <v>42173.30486111111</v>
      </c>
      <c r="C975" s="14">
        <v>62.25</v>
      </c>
      <c r="D975" s="15">
        <v>65</v>
      </c>
      <c r="E975" s="15">
        <f t="shared" si="156"/>
        <v>4057.25</v>
      </c>
      <c r="F975" s="13"/>
      <c r="G975" s="14">
        <v>65.67</v>
      </c>
      <c r="H975" s="15">
        <f t="shared" si="157"/>
        <v>4268.55</v>
      </c>
      <c r="I975" s="16">
        <f t="shared" si="158"/>
        <v>211.30000000000018</v>
      </c>
      <c r="J975" s="19">
        <f t="shared" si="159"/>
        <v>0.052079610573664475</v>
      </c>
      <c r="K975" s="95" t="s">
        <v>270</v>
      </c>
      <c r="L975" s="119"/>
      <c r="M975" s="20">
        <f t="shared" si="160"/>
        <v>57.892500000000005</v>
      </c>
      <c r="N975" s="118">
        <v>71.25</v>
      </c>
      <c r="O975" s="116"/>
      <c r="P975" s="116" t="s">
        <v>169</v>
      </c>
      <c r="Q975" s="117"/>
      <c r="R975" s="118"/>
      <c r="S975" s="117"/>
      <c r="T975" s="116"/>
      <c r="V975" s="15"/>
      <c r="W975" s="29"/>
    </row>
    <row r="976" spans="1:23" s="114" customFormat="1" ht="15">
      <c r="A976" s="85" t="s">
        <v>169</v>
      </c>
      <c r="B976" s="65">
        <v>42185.43472222222</v>
      </c>
      <c r="C976" s="14">
        <v>65.19</v>
      </c>
      <c r="D976" s="15">
        <v>140</v>
      </c>
      <c r="E976" s="15">
        <f t="shared" si="156"/>
        <v>9137.6</v>
      </c>
      <c r="F976" s="13"/>
      <c r="G976" s="14">
        <v>65.67</v>
      </c>
      <c r="H976" s="15">
        <f t="shared" si="157"/>
        <v>9193.800000000001</v>
      </c>
      <c r="I976" s="16">
        <f t="shared" si="158"/>
        <v>56.20000000000073</v>
      </c>
      <c r="J976" s="19">
        <f t="shared" si="159"/>
        <v>0.006150411486604877</v>
      </c>
      <c r="K976" s="95" t="s">
        <v>278</v>
      </c>
      <c r="L976" s="119"/>
      <c r="M976" s="20">
        <f t="shared" si="160"/>
        <v>60.6267</v>
      </c>
      <c r="N976" s="118">
        <v>71.25</v>
      </c>
      <c r="O976" s="116"/>
      <c r="P976" s="116" t="s">
        <v>169</v>
      </c>
      <c r="Q976" s="117"/>
      <c r="R976" s="118"/>
      <c r="S976" s="117"/>
      <c r="T976" s="116"/>
      <c r="V976" s="15"/>
      <c r="W976" s="29"/>
    </row>
    <row r="977" spans="1:22" s="114" customFormat="1" ht="15">
      <c r="A977" s="12" t="s">
        <v>208</v>
      </c>
      <c r="B977" s="65">
        <v>42090.308333333334</v>
      </c>
      <c r="C977" s="14">
        <v>214</v>
      </c>
      <c r="D977" s="15">
        <v>95</v>
      </c>
      <c r="E977" s="15">
        <f t="shared" si="156"/>
        <v>20341</v>
      </c>
      <c r="F977" s="13"/>
      <c r="G977" s="14">
        <v>231.24</v>
      </c>
      <c r="H977" s="15">
        <f t="shared" si="157"/>
        <v>21967.8</v>
      </c>
      <c r="I977" s="16">
        <f t="shared" si="158"/>
        <v>1626.7999999999993</v>
      </c>
      <c r="J977" s="19">
        <f t="shared" si="159"/>
        <v>0.07997640234010124</v>
      </c>
      <c r="K977" s="95" t="s">
        <v>212</v>
      </c>
      <c r="L977" s="119">
        <v>199.93</v>
      </c>
      <c r="M977" s="41">
        <f t="shared" si="160"/>
        <v>199.02</v>
      </c>
      <c r="N977" s="118">
        <v>267.7</v>
      </c>
      <c r="O977" s="121">
        <v>42136</v>
      </c>
      <c r="P977" s="116" t="s">
        <v>208</v>
      </c>
      <c r="Q977" s="117">
        <v>233.84</v>
      </c>
      <c r="R977" s="118">
        <f>Q977*0.855</f>
        <v>199.9332</v>
      </c>
      <c r="S977" s="117">
        <f>1.11*C977</f>
        <v>237.54000000000002</v>
      </c>
      <c r="T977" s="116"/>
      <c r="U977" s="117"/>
      <c r="V977" s="15"/>
    </row>
    <row r="978" spans="1:22" s="114" customFormat="1" ht="15">
      <c r="A978" s="12" t="s">
        <v>208</v>
      </c>
      <c r="B978" s="65">
        <v>42093.29305555556</v>
      </c>
      <c r="C978" s="14">
        <v>219.41</v>
      </c>
      <c r="D978" s="15">
        <v>55</v>
      </c>
      <c r="E978" s="15">
        <f t="shared" si="156"/>
        <v>12078.55</v>
      </c>
      <c r="F978" s="13"/>
      <c r="G978" s="14">
        <v>231.24</v>
      </c>
      <c r="H978" s="15">
        <f t="shared" si="157"/>
        <v>12718.2</v>
      </c>
      <c r="I978" s="16">
        <f t="shared" si="158"/>
        <v>639.6500000000015</v>
      </c>
      <c r="J978" s="19">
        <f t="shared" si="159"/>
        <v>0.05295751559582909</v>
      </c>
      <c r="K978" s="95" t="s">
        <v>211</v>
      </c>
      <c r="L978" s="119"/>
      <c r="M978" s="20">
        <f t="shared" si="160"/>
        <v>204.0513</v>
      </c>
      <c r="N978" s="118">
        <v>267.7</v>
      </c>
      <c r="O978" s="116"/>
      <c r="P978" s="116" t="s">
        <v>208</v>
      </c>
      <c r="Q978" s="117"/>
      <c r="R978" s="118"/>
      <c r="S978" s="117"/>
      <c r="T978" s="116"/>
      <c r="V978" s="15"/>
    </row>
    <row r="979" spans="1:23" s="114" customFormat="1" ht="15">
      <c r="A979" s="12" t="s">
        <v>208</v>
      </c>
      <c r="B979" s="65">
        <v>42117.27569444444</v>
      </c>
      <c r="C979" s="14">
        <v>226.35</v>
      </c>
      <c r="D979" s="15">
        <v>35</v>
      </c>
      <c r="E979" s="15">
        <f t="shared" si="156"/>
        <v>7933.25</v>
      </c>
      <c r="F979" s="13"/>
      <c r="G979" s="14">
        <v>231.24</v>
      </c>
      <c r="H979" s="15">
        <f t="shared" si="157"/>
        <v>8093.400000000001</v>
      </c>
      <c r="I979" s="16">
        <f t="shared" si="158"/>
        <v>160.15000000000055</v>
      </c>
      <c r="J979" s="19">
        <f t="shared" si="159"/>
        <v>0.02018718684019797</v>
      </c>
      <c r="K979" s="95" t="s">
        <v>236</v>
      </c>
      <c r="L979" s="119"/>
      <c r="M979" s="20">
        <f t="shared" si="160"/>
        <v>210.5055</v>
      </c>
      <c r="N979" s="118">
        <v>267.7</v>
      </c>
      <c r="O979" s="116"/>
      <c r="P979" s="116" t="s">
        <v>208</v>
      </c>
      <c r="Q979" s="117"/>
      <c r="R979" s="118"/>
      <c r="S979" s="117"/>
      <c r="T979" s="116"/>
      <c r="V979" s="15"/>
      <c r="W979" s="29"/>
    </row>
    <row r="980" spans="1:23" s="114" customFormat="1" ht="15">
      <c r="A980" s="12" t="s">
        <v>66</v>
      </c>
      <c r="B980" s="65">
        <v>42156.31875</v>
      </c>
      <c r="C980" s="14">
        <v>41</v>
      </c>
      <c r="D980" s="15">
        <v>1900</v>
      </c>
      <c r="E980" s="15">
        <f t="shared" si="156"/>
        <v>77911</v>
      </c>
      <c r="F980" s="13"/>
      <c r="G980" s="14">
        <v>44.24</v>
      </c>
      <c r="H980" s="15">
        <f t="shared" si="157"/>
        <v>84056</v>
      </c>
      <c r="I980" s="16">
        <f t="shared" si="158"/>
        <v>6145</v>
      </c>
      <c r="J980" s="19">
        <f t="shared" si="159"/>
        <v>0.0788720463092503</v>
      </c>
      <c r="K980" s="95" t="s">
        <v>256</v>
      </c>
      <c r="L980" s="119">
        <v>39.8</v>
      </c>
      <c r="M980" s="41">
        <f t="shared" si="160"/>
        <v>38.13</v>
      </c>
      <c r="N980" s="118">
        <v>52.13</v>
      </c>
      <c r="O980" s="116"/>
      <c r="P980" s="116" t="s">
        <v>66</v>
      </c>
      <c r="Q980" s="117">
        <v>46.55</v>
      </c>
      <c r="R980" s="118">
        <f>Q980*0.855</f>
        <v>39.80025</v>
      </c>
      <c r="S980" s="117">
        <f>1.11*C980</f>
        <v>45.510000000000005</v>
      </c>
      <c r="T980" s="116"/>
      <c r="V980" s="15"/>
      <c r="W980" s="29"/>
    </row>
    <row r="981" spans="1:23" s="114" customFormat="1" ht="15">
      <c r="A981" s="12" t="s">
        <v>66</v>
      </c>
      <c r="B981" s="65">
        <v>42158.308333333334</v>
      </c>
      <c r="C981" s="14">
        <v>42.1</v>
      </c>
      <c r="D981" s="15">
        <v>1100</v>
      </c>
      <c r="E981" s="15">
        <f t="shared" si="156"/>
        <v>46321</v>
      </c>
      <c r="F981" s="13"/>
      <c r="G981" s="14">
        <v>44.24</v>
      </c>
      <c r="H981" s="15">
        <f t="shared" si="157"/>
        <v>48664</v>
      </c>
      <c r="I981" s="16">
        <f t="shared" si="158"/>
        <v>2343</v>
      </c>
      <c r="J981" s="19">
        <f t="shared" si="159"/>
        <v>0.05058180954642603</v>
      </c>
      <c r="K981" s="95" t="s">
        <v>261</v>
      </c>
      <c r="L981" s="119">
        <v>39.8</v>
      </c>
      <c r="M981" s="41">
        <f t="shared" si="160"/>
        <v>39.153000000000006</v>
      </c>
      <c r="N981" s="118">
        <v>52.13</v>
      </c>
      <c r="O981" s="116"/>
      <c r="P981" s="116" t="s">
        <v>66</v>
      </c>
      <c r="Q981" s="117"/>
      <c r="R981" s="118"/>
      <c r="S981" s="117"/>
      <c r="T981" s="116"/>
      <c r="V981" s="15"/>
      <c r="W981" s="29"/>
    </row>
    <row r="982" spans="1:23" s="114" customFormat="1" ht="15">
      <c r="A982" s="12" t="s">
        <v>66</v>
      </c>
      <c r="B982" s="65">
        <v>41798.27222222222</v>
      </c>
      <c r="C982" s="14">
        <v>43.43</v>
      </c>
      <c r="D982" s="15">
        <v>700</v>
      </c>
      <c r="E982" s="15">
        <f t="shared" si="156"/>
        <v>30412</v>
      </c>
      <c r="F982" s="13"/>
      <c r="G982" s="14">
        <v>44.24</v>
      </c>
      <c r="H982" s="15">
        <f t="shared" si="157"/>
        <v>30968</v>
      </c>
      <c r="I982" s="16">
        <f t="shared" si="158"/>
        <v>556</v>
      </c>
      <c r="J982" s="19">
        <f t="shared" si="159"/>
        <v>0.018282257003814285</v>
      </c>
      <c r="K982" s="95" t="s">
        <v>260</v>
      </c>
      <c r="L982" s="119"/>
      <c r="M982" s="20">
        <f t="shared" si="160"/>
        <v>40.389900000000004</v>
      </c>
      <c r="N982" s="118">
        <v>52.13</v>
      </c>
      <c r="O982" s="116"/>
      <c r="P982" s="116" t="s">
        <v>66</v>
      </c>
      <c r="Q982" s="117"/>
      <c r="R982" s="118"/>
      <c r="S982" s="117"/>
      <c r="T982" s="116"/>
      <c r="V982" s="15"/>
      <c r="W982" s="29"/>
    </row>
    <row r="983" spans="1:23" s="114" customFormat="1" ht="15">
      <c r="A983" s="12" t="s">
        <v>59</v>
      </c>
      <c r="B983" s="65">
        <v>42164.36944444444</v>
      </c>
      <c r="C983" s="14">
        <v>47.25</v>
      </c>
      <c r="D983" s="15">
        <v>1600</v>
      </c>
      <c r="E983" s="15">
        <f t="shared" si="156"/>
        <v>75611</v>
      </c>
      <c r="F983" s="13"/>
      <c r="G983" s="14">
        <v>54.51</v>
      </c>
      <c r="H983" s="15">
        <f t="shared" si="157"/>
        <v>87216</v>
      </c>
      <c r="I983" s="16">
        <f t="shared" si="158"/>
        <v>11605</v>
      </c>
      <c r="J983" s="19">
        <f t="shared" si="159"/>
        <v>0.15348295882874186</v>
      </c>
      <c r="K983" s="95" t="s">
        <v>263</v>
      </c>
      <c r="L983" s="119">
        <v>47.54</v>
      </c>
      <c r="M983" s="41">
        <f t="shared" si="160"/>
        <v>43.9425</v>
      </c>
      <c r="N983" s="118">
        <v>60.98</v>
      </c>
      <c r="O983" s="121">
        <v>42223</v>
      </c>
      <c r="P983" s="116" t="s">
        <v>59</v>
      </c>
      <c r="Q983" s="117">
        <v>55.6</v>
      </c>
      <c r="R983" s="118">
        <f>Q983*0.855</f>
        <v>47.538</v>
      </c>
      <c r="S983" s="117">
        <f>1.11*C983</f>
        <v>52.447500000000005</v>
      </c>
      <c r="T983" s="116"/>
      <c r="V983" s="15"/>
      <c r="W983" s="29"/>
    </row>
    <row r="984" spans="1:23" s="114" customFormat="1" ht="15">
      <c r="A984" s="12" t="s">
        <v>59</v>
      </c>
      <c r="B984" s="65">
        <v>42164.478472222225</v>
      </c>
      <c r="C984" s="14">
        <v>48.3</v>
      </c>
      <c r="D984" s="15">
        <v>1000</v>
      </c>
      <c r="E984" s="15">
        <f t="shared" si="156"/>
        <v>48311</v>
      </c>
      <c r="F984" s="13"/>
      <c r="G984" s="14">
        <v>54.51</v>
      </c>
      <c r="H984" s="15">
        <f t="shared" si="157"/>
        <v>54510</v>
      </c>
      <c r="I984" s="16">
        <f t="shared" si="158"/>
        <v>6199</v>
      </c>
      <c r="J984" s="19">
        <f t="shared" si="159"/>
        <v>0.12831446254476206</v>
      </c>
      <c r="K984" s="95" t="s">
        <v>265</v>
      </c>
      <c r="L984" s="119">
        <v>47.54</v>
      </c>
      <c r="M984" s="41">
        <f t="shared" si="160"/>
        <v>44.919</v>
      </c>
      <c r="N984" s="118">
        <v>60.98</v>
      </c>
      <c r="O984" s="116"/>
      <c r="P984" s="116" t="s">
        <v>59</v>
      </c>
      <c r="Q984" s="117"/>
      <c r="R984" s="118"/>
      <c r="S984" s="117"/>
      <c r="T984" s="116"/>
      <c r="V984" s="15"/>
      <c r="W984" s="29"/>
    </row>
    <row r="985" spans="1:23" s="114" customFormat="1" ht="15">
      <c r="A985" s="12" t="s">
        <v>59</v>
      </c>
      <c r="B985" s="65">
        <v>42166.291666666664</v>
      </c>
      <c r="C985" s="14">
        <v>49.14</v>
      </c>
      <c r="D985" s="15">
        <v>600</v>
      </c>
      <c r="E985" s="15">
        <f t="shared" si="156"/>
        <v>29495</v>
      </c>
      <c r="F985" s="13"/>
      <c r="G985" s="14">
        <v>54.51</v>
      </c>
      <c r="H985" s="15">
        <f t="shared" si="157"/>
        <v>32706</v>
      </c>
      <c r="I985" s="16">
        <f t="shared" si="158"/>
        <v>3211</v>
      </c>
      <c r="J985" s="19">
        <f t="shared" si="159"/>
        <v>0.10886590947618241</v>
      </c>
      <c r="K985" s="95" t="s">
        <v>264</v>
      </c>
      <c r="L985" s="119">
        <v>47.54</v>
      </c>
      <c r="M985" s="41">
        <f t="shared" si="160"/>
        <v>45.7002</v>
      </c>
      <c r="N985" s="118">
        <v>60.98</v>
      </c>
      <c r="O985" s="116"/>
      <c r="P985" s="116" t="s">
        <v>59</v>
      </c>
      <c r="Q985" s="117"/>
      <c r="R985" s="118"/>
      <c r="S985" s="117"/>
      <c r="T985" s="116"/>
      <c r="V985" s="15"/>
      <c r="W985" s="29"/>
    </row>
    <row r="986" spans="1:23" s="114" customFormat="1" ht="15">
      <c r="A986" s="12" t="s">
        <v>48</v>
      </c>
      <c r="B986" s="65">
        <v>42174.53472222222</v>
      </c>
      <c r="C986" s="14">
        <v>82.6</v>
      </c>
      <c r="D986" s="15">
        <v>950</v>
      </c>
      <c r="E986" s="15">
        <f t="shared" si="156"/>
        <v>78481</v>
      </c>
      <c r="F986" s="13"/>
      <c r="G986" s="14">
        <v>87.29</v>
      </c>
      <c r="H986" s="15">
        <f t="shared" si="157"/>
        <v>82925.5</v>
      </c>
      <c r="I986" s="16">
        <f t="shared" si="158"/>
        <v>4444.5</v>
      </c>
      <c r="J986" s="19">
        <f t="shared" si="159"/>
        <v>0.0566315413921841</v>
      </c>
      <c r="K986" s="95" t="s">
        <v>272</v>
      </c>
      <c r="L986" s="119"/>
      <c r="M986" s="20">
        <f t="shared" si="160"/>
        <v>76.818</v>
      </c>
      <c r="N986" s="117">
        <v>103.69</v>
      </c>
      <c r="O986" s="121">
        <v>42230</v>
      </c>
      <c r="P986" s="116" t="s">
        <v>48</v>
      </c>
      <c r="Q986" s="117">
        <v>89.4</v>
      </c>
      <c r="R986" s="118"/>
      <c r="S986" s="117">
        <f>1.11*C986</f>
        <v>91.686</v>
      </c>
      <c r="T986" s="116"/>
      <c r="V986" s="15"/>
      <c r="W986" s="29"/>
    </row>
    <row r="987" spans="1:23" s="114" customFormat="1" ht="15">
      <c r="A987" s="12" t="s">
        <v>48</v>
      </c>
      <c r="B987" s="65">
        <v>42177.37013888889</v>
      </c>
      <c r="C987" s="14">
        <v>84.55</v>
      </c>
      <c r="D987" s="15">
        <v>550</v>
      </c>
      <c r="E987" s="15">
        <f t="shared" si="156"/>
        <v>46513.5</v>
      </c>
      <c r="F987" s="13"/>
      <c r="G987" s="14">
        <v>87.29</v>
      </c>
      <c r="H987" s="15">
        <f t="shared" si="157"/>
        <v>48009.5</v>
      </c>
      <c r="I987" s="16">
        <f t="shared" si="158"/>
        <v>1496</v>
      </c>
      <c r="J987" s="19">
        <f t="shared" si="159"/>
        <v>0.03216270545110559</v>
      </c>
      <c r="K987" s="95" t="s">
        <v>274</v>
      </c>
      <c r="L987" s="119"/>
      <c r="M987" s="20">
        <f t="shared" si="160"/>
        <v>78.6315</v>
      </c>
      <c r="N987" s="117">
        <v>103.69</v>
      </c>
      <c r="O987" s="116"/>
      <c r="P987" s="116" t="s">
        <v>48</v>
      </c>
      <c r="Q987" s="117"/>
      <c r="R987" s="118"/>
      <c r="S987" s="117"/>
      <c r="T987" s="116"/>
      <c r="V987" s="15"/>
      <c r="W987" s="29"/>
    </row>
    <row r="988" spans="1:23" s="114" customFormat="1" ht="15">
      <c r="A988" s="12" t="s">
        <v>48</v>
      </c>
      <c r="B988" s="65">
        <v>42178.302777777775</v>
      </c>
      <c r="C988" s="14">
        <v>86.26</v>
      </c>
      <c r="D988" s="15">
        <v>350</v>
      </c>
      <c r="E988" s="15">
        <f t="shared" si="156"/>
        <v>30202</v>
      </c>
      <c r="F988" s="13"/>
      <c r="G988" s="14">
        <v>87.29</v>
      </c>
      <c r="H988" s="15">
        <f t="shared" si="157"/>
        <v>30551.500000000004</v>
      </c>
      <c r="I988" s="16">
        <f t="shared" si="158"/>
        <v>349.50000000000364</v>
      </c>
      <c r="J988" s="19">
        <f t="shared" si="159"/>
        <v>0.01157208131911806</v>
      </c>
      <c r="K988" s="95" t="s">
        <v>275</v>
      </c>
      <c r="L988" s="119"/>
      <c r="M988" s="20">
        <f t="shared" si="160"/>
        <v>80.22180000000002</v>
      </c>
      <c r="N988" s="117">
        <v>103.69</v>
      </c>
      <c r="O988" s="116"/>
      <c r="P988" s="116" t="s">
        <v>48</v>
      </c>
      <c r="Q988" s="117"/>
      <c r="R988" s="118"/>
      <c r="S988" s="117"/>
      <c r="T988" s="116"/>
      <c r="V988" s="15"/>
      <c r="W988" s="29"/>
    </row>
    <row r="989" spans="1:20" s="114" customFormat="1" ht="15">
      <c r="A989" s="12"/>
      <c r="B989" s="13"/>
      <c r="C989" s="14"/>
      <c r="D989" s="15"/>
      <c r="E989" s="15"/>
      <c r="F989" s="13"/>
      <c r="G989" s="14"/>
      <c r="H989" s="15"/>
      <c r="I989" s="16"/>
      <c r="J989" s="19"/>
      <c r="K989" s="95"/>
      <c r="L989" s="119"/>
      <c r="M989" s="32"/>
      <c r="N989" s="118"/>
      <c r="Q989" s="117"/>
      <c r="R989" s="117"/>
      <c r="S989" s="117"/>
      <c r="T989" s="116"/>
    </row>
    <row r="990" spans="1:20" s="114" customFormat="1" ht="15">
      <c r="A990" s="21" t="s">
        <v>14</v>
      </c>
      <c r="B990" s="22"/>
      <c r="C990" s="23"/>
      <c r="D990" s="24"/>
      <c r="E990" s="24">
        <f>SUM(E959:E989)</f>
        <v>704871.8999999999</v>
      </c>
      <c r="F990" s="22"/>
      <c r="G990" s="23"/>
      <c r="H990" s="24">
        <f>SUM(H959:H989)</f>
        <v>802762.55</v>
      </c>
      <c r="I990" s="25">
        <f>SUM(I959:I989)</f>
        <v>97890.65</v>
      </c>
      <c r="J990" s="26">
        <f>I990/E990</f>
        <v>0.1388772201019788</v>
      </c>
      <c r="K990" s="27" t="s">
        <v>15</v>
      </c>
      <c r="L990" s="28">
        <f>100000+I992</f>
        <v>356916.70999999996</v>
      </c>
      <c r="M990" s="81"/>
      <c r="N990" s="89"/>
      <c r="Q990" s="117"/>
      <c r="R990" s="117"/>
      <c r="S990" s="117"/>
      <c r="T990" s="116"/>
    </row>
    <row r="991" spans="1:20" s="114" customFormat="1" ht="15">
      <c r="A991" s="12" t="s">
        <v>67</v>
      </c>
      <c r="B991" s="22"/>
      <c r="C991" s="25">
        <f>I992-I954</f>
        <v>7072.799999999988</v>
      </c>
      <c r="D991" s="26">
        <f>C991/H952</f>
        <v>0.009306370280720707</v>
      </c>
      <c r="E991" s="24"/>
      <c r="F991" s="22" t="s">
        <v>16</v>
      </c>
      <c r="G991" s="117"/>
      <c r="H991" s="29" t="str">
        <f>IF(ABS(H990-E990-I990)&lt;1,"","ERROR")</f>
        <v/>
      </c>
      <c r="I991" s="16">
        <v>159026.05999999997</v>
      </c>
      <c r="J991" s="26"/>
      <c r="K991" s="111" t="s">
        <v>17</v>
      </c>
      <c r="L991" s="28">
        <f>(2*(100000+I992))-E990</f>
        <v>8961.520000000019</v>
      </c>
      <c r="M991" s="31"/>
      <c r="Q991" s="117"/>
      <c r="R991" s="117"/>
      <c r="S991" s="117"/>
      <c r="T991" s="116"/>
    </row>
    <row r="992" spans="1:20" s="114" customFormat="1" ht="15">
      <c r="A992" s="12" t="s">
        <v>54</v>
      </c>
      <c r="B992" s="22"/>
      <c r="C992" s="25">
        <f>L990-L952</f>
        <v>7072.799999999988</v>
      </c>
      <c r="D992" s="26">
        <f>C992/L952</f>
        <v>0.020217016211601307</v>
      </c>
      <c r="E992" s="24"/>
      <c r="F992" s="22" t="s">
        <v>18</v>
      </c>
      <c r="G992" s="117"/>
      <c r="H992" s="29"/>
      <c r="I992" s="30">
        <f>I990+I991</f>
        <v>256916.70999999996</v>
      </c>
      <c r="J992" s="26">
        <f>I992/100000</f>
        <v>2.5691670999999996</v>
      </c>
      <c r="K992" s="111" t="s">
        <v>19</v>
      </c>
      <c r="L992" s="26">
        <f>E990/(2*(100000+I992))</f>
        <v>0.9874459226075462</v>
      </c>
      <c r="M992" s="31"/>
      <c r="Q992" s="117"/>
      <c r="R992" s="117"/>
      <c r="S992" s="117"/>
      <c r="T992" s="116"/>
    </row>
    <row r="993" spans="1:20" s="114" customFormat="1" ht="15">
      <c r="A993" s="114">
        <v>7</v>
      </c>
      <c r="B993" s="22"/>
      <c r="C993" s="25"/>
      <c r="D993" s="26"/>
      <c r="E993" s="24"/>
      <c r="F993" s="22"/>
      <c r="G993" s="117"/>
      <c r="H993" s="29"/>
      <c r="I993" s="30"/>
      <c r="J993" s="26"/>
      <c r="K993" s="111"/>
      <c r="L993" s="26"/>
      <c r="M993" s="31"/>
      <c r="Q993" s="117"/>
      <c r="R993" s="117"/>
      <c r="S993" s="117"/>
      <c r="T993" s="116"/>
    </row>
    <row r="994" spans="2:20" s="114" customFormat="1" ht="15">
      <c r="B994" s="22"/>
      <c r="C994" s="25"/>
      <c r="D994" s="26"/>
      <c r="E994" s="24"/>
      <c r="F994" s="22"/>
      <c r="G994" s="117"/>
      <c r="H994" s="29"/>
      <c r="I994" s="30"/>
      <c r="J994" s="26"/>
      <c r="K994" s="111"/>
      <c r="L994" s="26"/>
      <c r="M994" s="31"/>
      <c r="Q994" s="117"/>
      <c r="R994" s="117"/>
      <c r="S994" s="117"/>
      <c r="T994" s="116"/>
    </row>
    <row r="995" spans="1:20" s="114" customFormat="1" ht="30.75" customHeight="1">
      <c r="A995" s="130" t="s">
        <v>62</v>
      </c>
      <c r="B995" s="384" t="s">
        <v>279</v>
      </c>
      <c r="C995" s="384"/>
      <c r="D995" s="384"/>
      <c r="E995" s="384"/>
      <c r="F995" s="384"/>
      <c r="G995" s="384"/>
      <c r="H995" s="384"/>
      <c r="I995" s="384"/>
      <c r="J995" s="384"/>
      <c r="K995" s="384"/>
      <c r="L995" s="384"/>
      <c r="M995" s="384"/>
      <c r="N995" s="384"/>
      <c r="O995" s="92"/>
      <c r="P995" s="92"/>
      <c r="Q995" s="104"/>
      <c r="R995" s="104"/>
      <c r="S995" s="107"/>
      <c r="T995" s="109"/>
    </row>
    <row r="996" spans="1:22" s="114" customFormat="1" ht="15">
      <c r="A996" s="2" t="s">
        <v>0</v>
      </c>
      <c r="B996" s="3" t="s">
        <v>1</v>
      </c>
      <c r="C996" s="4" t="s">
        <v>2</v>
      </c>
      <c r="D996" s="5" t="s">
        <v>3</v>
      </c>
      <c r="E996" s="6" t="s">
        <v>4</v>
      </c>
      <c r="F996" s="3" t="s">
        <v>5</v>
      </c>
      <c r="G996" s="7" t="s">
        <v>2</v>
      </c>
      <c r="H996" s="6" t="s">
        <v>6</v>
      </c>
      <c r="I996" s="6" t="s">
        <v>7</v>
      </c>
      <c r="J996" s="8" t="s">
        <v>8</v>
      </c>
      <c r="K996" s="9" t="s">
        <v>9</v>
      </c>
      <c r="L996" s="10" t="s">
        <v>10</v>
      </c>
      <c r="M996" s="11" t="s">
        <v>11</v>
      </c>
      <c r="N996" s="103" t="s">
        <v>53</v>
      </c>
      <c r="O996" s="105" t="s">
        <v>110</v>
      </c>
      <c r="P996" s="106" t="s">
        <v>0</v>
      </c>
      <c r="Q996" s="117" t="s">
        <v>13</v>
      </c>
      <c r="R996" s="117" t="s">
        <v>70</v>
      </c>
      <c r="S996" s="111" t="s">
        <v>103</v>
      </c>
      <c r="T996" s="116" t="s">
        <v>107</v>
      </c>
      <c r="V996" s="9"/>
    </row>
    <row r="997" spans="1:22" s="114" customFormat="1" ht="15">
      <c r="A997" s="12" t="s">
        <v>80</v>
      </c>
      <c r="B997" s="65">
        <v>42011.30486111111</v>
      </c>
      <c r="C997" s="14">
        <v>58.02</v>
      </c>
      <c r="D997" s="15">
        <v>250</v>
      </c>
      <c r="E997" s="15">
        <f aca="true" t="shared" si="161" ref="E997:E1028">C997*D997+11</f>
        <v>14516</v>
      </c>
      <c r="F997" s="13"/>
      <c r="G997" s="14">
        <v>118.9</v>
      </c>
      <c r="H997" s="15">
        <f aca="true" t="shared" si="162" ref="H997:H1028">G997*D997</f>
        <v>29725</v>
      </c>
      <c r="I997" s="16">
        <f aca="true" t="shared" si="163" ref="I997:I1028">H997-E997</f>
        <v>15209</v>
      </c>
      <c r="J997" s="19">
        <f aca="true" t="shared" si="164" ref="J997:J1028">I997/E997</f>
        <v>1.0477404243593276</v>
      </c>
      <c r="K997" s="141" t="s">
        <v>239</v>
      </c>
      <c r="L997" s="140" t="s">
        <v>51</v>
      </c>
      <c r="M997" s="41">
        <f aca="true" t="shared" si="165" ref="M997:M1028">C997*0.93</f>
        <v>53.958600000000004</v>
      </c>
      <c r="N997" s="118">
        <v>77.93</v>
      </c>
      <c r="O997" s="121">
        <v>42090</v>
      </c>
      <c r="P997" s="116" t="s">
        <v>80</v>
      </c>
      <c r="Q997" s="117">
        <v>119.4</v>
      </c>
      <c r="R997" s="118">
        <f>Q997*0.855</f>
        <v>102.087</v>
      </c>
      <c r="S997" s="117">
        <f>1.11*C997</f>
        <v>64.40220000000001</v>
      </c>
      <c r="T997" s="116"/>
      <c r="U997" s="117"/>
      <c r="V997" s="15"/>
    </row>
    <row r="998" spans="1:22" s="114" customFormat="1" ht="15">
      <c r="A998" s="12" t="s">
        <v>80</v>
      </c>
      <c r="B998" s="65">
        <v>42011.40694444445</v>
      </c>
      <c r="C998" s="14">
        <v>59.16</v>
      </c>
      <c r="D998" s="15">
        <v>150</v>
      </c>
      <c r="E998" s="15">
        <f t="shared" si="161"/>
        <v>8885</v>
      </c>
      <c r="F998" s="13"/>
      <c r="G998" s="14">
        <v>118.9</v>
      </c>
      <c r="H998" s="15">
        <f t="shared" si="162"/>
        <v>17835</v>
      </c>
      <c r="I998" s="16">
        <f t="shared" si="163"/>
        <v>8950</v>
      </c>
      <c r="J998" s="122">
        <f t="shared" si="164"/>
        <v>1.0073157006190208</v>
      </c>
      <c r="K998" s="95" t="s">
        <v>82</v>
      </c>
      <c r="L998" s="140" t="s">
        <v>51</v>
      </c>
      <c r="M998" s="41">
        <f t="shared" si="165"/>
        <v>55.0188</v>
      </c>
      <c r="N998" s="118">
        <v>77.93</v>
      </c>
      <c r="O998" s="116"/>
      <c r="P998" s="116" t="s">
        <v>80</v>
      </c>
      <c r="Q998" s="117"/>
      <c r="R998" s="118"/>
      <c r="S998" s="117"/>
      <c r="T998" s="116"/>
      <c r="V998" s="15"/>
    </row>
    <row r="999" spans="1:22" s="114" customFormat="1" ht="15">
      <c r="A999" s="12" t="s">
        <v>80</v>
      </c>
      <c r="B999" s="65">
        <v>42012.29305555556</v>
      </c>
      <c r="C999" s="14">
        <v>60.3</v>
      </c>
      <c r="D999" s="15">
        <v>100</v>
      </c>
      <c r="E999" s="15">
        <f t="shared" si="161"/>
        <v>6041</v>
      </c>
      <c r="F999" s="13"/>
      <c r="G999" s="14">
        <v>118.9</v>
      </c>
      <c r="H999" s="15">
        <f t="shared" si="162"/>
        <v>11890</v>
      </c>
      <c r="I999" s="16">
        <f t="shared" si="163"/>
        <v>5849</v>
      </c>
      <c r="J999" s="19">
        <f t="shared" si="164"/>
        <v>0.9682171825856646</v>
      </c>
      <c r="K999" s="95" t="s">
        <v>83</v>
      </c>
      <c r="L999" s="140" t="s">
        <v>51</v>
      </c>
      <c r="M999" s="41">
        <f t="shared" si="165"/>
        <v>56.079</v>
      </c>
      <c r="N999" s="118">
        <v>77.93</v>
      </c>
      <c r="O999" s="116"/>
      <c r="P999" s="116" t="s">
        <v>80</v>
      </c>
      <c r="Q999" s="117"/>
      <c r="R999" s="118"/>
      <c r="S999" s="117"/>
      <c r="T999" s="116"/>
      <c r="V999" s="15"/>
    </row>
    <row r="1000" spans="1:22" s="114" customFormat="1" ht="15">
      <c r="A1000" s="12" t="s">
        <v>80</v>
      </c>
      <c r="B1000" s="65">
        <v>42047.271527777775</v>
      </c>
      <c r="C1000" s="14">
        <v>64.65</v>
      </c>
      <c r="D1000" s="15">
        <v>100</v>
      </c>
      <c r="E1000" s="15">
        <f t="shared" si="161"/>
        <v>6476.000000000001</v>
      </c>
      <c r="F1000" s="13"/>
      <c r="G1000" s="14">
        <v>118.9</v>
      </c>
      <c r="H1000" s="15">
        <f t="shared" si="162"/>
        <v>11890</v>
      </c>
      <c r="I1000" s="16">
        <f t="shared" si="163"/>
        <v>5413.999999999999</v>
      </c>
      <c r="J1000" s="19">
        <f t="shared" si="164"/>
        <v>0.8360098826436069</v>
      </c>
      <c r="K1000" s="95" t="s">
        <v>132</v>
      </c>
      <c r="L1000" s="140" t="s">
        <v>51</v>
      </c>
      <c r="M1000" s="41">
        <f t="shared" si="165"/>
        <v>60.12450000000001</v>
      </c>
      <c r="N1000" s="118">
        <v>77.93</v>
      </c>
      <c r="O1000" s="116"/>
      <c r="P1000" s="116" t="s">
        <v>80</v>
      </c>
      <c r="Q1000" s="117"/>
      <c r="R1000" s="118"/>
      <c r="S1000" s="117"/>
      <c r="T1000" s="116"/>
      <c r="V1000" s="15"/>
    </row>
    <row r="1001" spans="1:22" s="114" customFormat="1" ht="15">
      <c r="A1001" s="12" t="s">
        <v>80</v>
      </c>
      <c r="B1001" s="65">
        <v>42081.34097222222</v>
      </c>
      <c r="C1001" s="14">
        <v>70</v>
      </c>
      <c r="D1001" s="15">
        <v>120</v>
      </c>
      <c r="E1001" s="15">
        <f t="shared" si="161"/>
        <v>8411</v>
      </c>
      <c r="F1001" s="13"/>
      <c r="G1001" s="14">
        <v>118.9</v>
      </c>
      <c r="H1001" s="15">
        <f t="shared" si="162"/>
        <v>14268</v>
      </c>
      <c r="I1001" s="16">
        <f t="shared" si="163"/>
        <v>5857</v>
      </c>
      <c r="J1001" s="19">
        <f t="shared" si="164"/>
        <v>0.6963500178337891</v>
      </c>
      <c r="K1001" s="95" t="s">
        <v>181</v>
      </c>
      <c r="L1001" s="140" t="s">
        <v>51</v>
      </c>
      <c r="M1001" s="41">
        <f t="shared" si="165"/>
        <v>65.10000000000001</v>
      </c>
      <c r="N1001" s="118">
        <v>77.93</v>
      </c>
      <c r="O1001" s="116"/>
      <c r="P1001" s="116" t="s">
        <v>80</v>
      </c>
      <c r="Q1001" s="117"/>
      <c r="R1001" s="118"/>
      <c r="S1001" s="117"/>
      <c r="T1001" s="116"/>
      <c r="V1001" s="15"/>
    </row>
    <row r="1002" spans="1:22" s="114" customFormat="1" ht="15">
      <c r="A1002" s="12" t="s">
        <v>80</v>
      </c>
      <c r="B1002" s="65">
        <v>42117.55694444444</v>
      </c>
      <c r="C1002" s="14">
        <v>77.75</v>
      </c>
      <c r="D1002" s="15">
        <v>150</v>
      </c>
      <c r="E1002" s="15">
        <f t="shared" si="161"/>
        <v>11673.5</v>
      </c>
      <c r="F1002" s="13"/>
      <c r="G1002" s="14">
        <v>118.9</v>
      </c>
      <c r="H1002" s="15">
        <f t="shared" si="162"/>
        <v>17835</v>
      </c>
      <c r="I1002" s="16">
        <f t="shared" si="163"/>
        <v>6161.5</v>
      </c>
      <c r="J1002" s="19">
        <f t="shared" si="164"/>
        <v>0.5278194200539684</v>
      </c>
      <c r="K1002" s="95" t="s">
        <v>233</v>
      </c>
      <c r="L1002" s="140" t="s">
        <v>51</v>
      </c>
      <c r="M1002" s="41">
        <f t="shared" si="165"/>
        <v>72.3075</v>
      </c>
      <c r="N1002" s="118">
        <v>77.93</v>
      </c>
      <c r="O1002" s="116"/>
      <c r="P1002" s="116" t="s">
        <v>80</v>
      </c>
      <c r="Q1002" s="117"/>
      <c r="R1002" s="118"/>
      <c r="S1002" s="117"/>
      <c r="T1002" s="116"/>
      <c r="V1002" s="15"/>
    </row>
    <row r="1003" spans="1:23" s="114" customFormat="1" ht="15">
      <c r="A1003" s="12" t="s">
        <v>80</v>
      </c>
      <c r="B1003" s="65">
        <v>42128.525</v>
      </c>
      <c r="C1003" s="14">
        <v>93.09</v>
      </c>
      <c r="D1003" s="15">
        <v>180</v>
      </c>
      <c r="E1003" s="15">
        <f t="shared" si="161"/>
        <v>16767.2</v>
      </c>
      <c r="F1003" s="13"/>
      <c r="G1003" s="14">
        <v>118.9</v>
      </c>
      <c r="H1003" s="15">
        <f t="shared" si="162"/>
        <v>21402</v>
      </c>
      <c r="I1003" s="16">
        <f t="shared" si="163"/>
        <v>4634.799999999999</v>
      </c>
      <c r="J1003" s="19">
        <f t="shared" si="164"/>
        <v>0.27642063075528406</v>
      </c>
      <c r="K1003" s="95" t="s">
        <v>244</v>
      </c>
      <c r="L1003" s="140" t="s">
        <v>51</v>
      </c>
      <c r="M1003" s="41">
        <f t="shared" si="165"/>
        <v>86.5737</v>
      </c>
      <c r="N1003" s="118">
        <v>77.93</v>
      </c>
      <c r="O1003" s="116"/>
      <c r="P1003" s="116" t="s">
        <v>80</v>
      </c>
      <c r="Q1003" s="117"/>
      <c r="R1003" s="118"/>
      <c r="S1003" s="117"/>
      <c r="T1003" s="116"/>
      <c r="V1003" s="15"/>
      <c r="W1003" s="29"/>
    </row>
    <row r="1004" spans="1:23" s="114" customFormat="1" ht="15">
      <c r="A1004" s="12" t="s">
        <v>80</v>
      </c>
      <c r="B1004" s="65">
        <v>42186.37847222222</v>
      </c>
      <c r="C1004" s="14">
        <v>111.51</v>
      </c>
      <c r="D1004" s="15">
        <v>320</v>
      </c>
      <c r="E1004" s="15">
        <f t="shared" si="161"/>
        <v>35694.200000000004</v>
      </c>
      <c r="F1004" s="13"/>
      <c r="G1004" s="14">
        <v>118.9</v>
      </c>
      <c r="H1004" s="15">
        <f t="shared" si="162"/>
        <v>38048</v>
      </c>
      <c r="I1004" s="16">
        <f t="shared" si="163"/>
        <v>2353.7999999999956</v>
      </c>
      <c r="J1004" s="19">
        <f t="shared" si="164"/>
        <v>0.0659434866168732</v>
      </c>
      <c r="K1004" s="95" t="s">
        <v>277</v>
      </c>
      <c r="L1004" s="140"/>
      <c r="M1004" s="41">
        <f t="shared" si="165"/>
        <v>103.7043</v>
      </c>
      <c r="N1004" s="118">
        <v>77.93</v>
      </c>
      <c r="O1004" s="116"/>
      <c r="P1004" s="116" t="s">
        <v>80</v>
      </c>
      <c r="Q1004" s="117"/>
      <c r="R1004" s="118"/>
      <c r="S1004" s="117"/>
      <c r="T1004" s="116"/>
      <c r="V1004" s="15"/>
      <c r="W1004" s="29"/>
    </row>
    <row r="1005" spans="1:22" s="114" customFormat="1" ht="15">
      <c r="A1005" s="12" t="s">
        <v>61</v>
      </c>
      <c r="B1005" s="65">
        <v>42040.27847222222</v>
      </c>
      <c r="C1005" s="14">
        <v>132.85</v>
      </c>
      <c r="D1005" s="15">
        <v>110</v>
      </c>
      <c r="E1005" s="15">
        <f t="shared" si="161"/>
        <v>14624.5</v>
      </c>
      <c r="F1005" s="65"/>
      <c r="G1005" s="14">
        <v>163.11</v>
      </c>
      <c r="H1005" s="15">
        <f t="shared" si="162"/>
        <v>17942.100000000002</v>
      </c>
      <c r="I1005" s="16">
        <f t="shared" si="163"/>
        <v>3317.600000000002</v>
      </c>
      <c r="J1005" s="19">
        <f t="shared" si="164"/>
        <v>0.2268522000752164</v>
      </c>
      <c r="K1005" s="95" t="s">
        <v>134</v>
      </c>
      <c r="L1005" s="119">
        <v>139.96</v>
      </c>
      <c r="M1005" s="41">
        <f t="shared" si="165"/>
        <v>123.5505</v>
      </c>
      <c r="N1005" s="118">
        <v>168.13</v>
      </c>
      <c r="O1005" s="121">
        <v>42086</v>
      </c>
      <c r="P1005" s="116" t="s">
        <v>61</v>
      </c>
      <c r="Q1005" s="117">
        <v>163.7</v>
      </c>
      <c r="R1005" s="118">
        <f>Q1005*0.855</f>
        <v>139.96349999999998</v>
      </c>
      <c r="S1005" s="117">
        <f>1.11*C1005</f>
        <v>147.4635</v>
      </c>
      <c r="T1005" s="116"/>
      <c r="U1005" s="117"/>
      <c r="V1005" s="15"/>
    </row>
    <row r="1006" spans="1:22" s="114" customFormat="1" ht="15">
      <c r="A1006" s="12" t="s">
        <v>61</v>
      </c>
      <c r="B1006" s="65">
        <v>42045.27291666667</v>
      </c>
      <c r="C1006" s="14">
        <v>135.9</v>
      </c>
      <c r="D1006" s="15">
        <v>65</v>
      </c>
      <c r="E1006" s="15">
        <f t="shared" si="161"/>
        <v>8844.5</v>
      </c>
      <c r="F1006" s="65"/>
      <c r="G1006" s="14">
        <v>163.11</v>
      </c>
      <c r="H1006" s="15">
        <f t="shared" si="162"/>
        <v>10602.150000000001</v>
      </c>
      <c r="I1006" s="16">
        <f t="shared" si="163"/>
        <v>1757.6500000000015</v>
      </c>
      <c r="J1006" s="19">
        <f t="shared" si="164"/>
        <v>0.19872802306518192</v>
      </c>
      <c r="K1006" s="95" t="s">
        <v>141</v>
      </c>
      <c r="L1006" s="119">
        <v>139.96</v>
      </c>
      <c r="M1006" s="41">
        <f t="shared" si="165"/>
        <v>126.38700000000001</v>
      </c>
      <c r="N1006" s="118">
        <v>168.13</v>
      </c>
      <c r="O1006" s="116"/>
      <c r="P1006" s="116" t="s">
        <v>61</v>
      </c>
      <c r="Q1006" s="117"/>
      <c r="R1006" s="118"/>
      <c r="S1006" s="117"/>
      <c r="T1006" s="116"/>
      <c r="V1006" s="15"/>
    </row>
    <row r="1007" spans="1:22" s="114" customFormat="1" ht="15">
      <c r="A1007" s="12" t="s">
        <v>61</v>
      </c>
      <c r="B1007" s="65">
        <v>42054.277083333334</v>
      </c>
      <c r="C1007" s="14">
        <v>139.17</v>
      </c>
      <c r="D1007" s="15">
        <v>40</v>
      </c>
      <c r="E1007" s="15">
        <f t="shared" si="161"/>
        <v>5577.799999999999</v>
      </c>
      <c r="F1007" s="65"/>
      <c r="G1007" s="14">
        <v>163.11</v>
      </c>
      <c r="H1007" s="15">
        <f t="shared" si="162"/>
        <v>6524.400000000001</v>
      </c>
      <c r="I1007" s="16">
        <f t="shared" si="163"/>
        <v>946.6000000000013</v>
      </c>
      <c r="J1007" s="19">
        <f t="shared" si="164"/>
        <v>0.16970848721718265</v>
      </c>
      <c r="K1007" s="95" t="s">
        <v>140</v>
      </c>
      <c r="L1007" s="119">
        <v>139.96</v>
      </c>
      <c r="M1007" s="41">
        <f t="shared" si="165"/>
        <v>129.4281</v>
      </c>
      <c r="N1007" s="118">
        <v>168.13</v>
      </c>
      <c r="O1007" s="116"/>
      <c r="P1007" s="116" t="s">
        <v>61</v>
      </c>
      <c r="Q1007" s="117"/>
      <c r="R1007" s="118"/>
      <c r="S1007" s="117"/>
      <c r="T1007" s="116"/>
      <c r="V1007" s="15"/>
    </row>
    <row r="1008" spans="1:22" s="114" customFormat="1" ht="15">
      <c r="A1008" s="12" t="s">
        <v>61</v>
      </c>
      <c r="B1008" s="65">
        <v>42075.56458333333</v>
      </c>
      <c r="C1008" s="14">
        <v>154</v>
      </c>
      <c r="D1008" s="15">
        <v>40</v>
      </c>
      <c r="E1008" s="15">
        <f t="shared" si="161"/>
        <v>6171</v>
      </c>
      <c r="F1008" s="65"/>
      <c r="G1008" s="14">
        <v>163.11</v>
      </c>
      <c r="H1008" s="15">
        <f t="shared" si="162"/>
        <v>6524.400000000001</v>
      </c>
      <c r="I1008" s="16">
        <f t="shared" si="163"/>
        <v>353.40000000000055</v>
      </c>
      <c r="J1008" s="19">
        <f t="shared" si="164"/>
        <v>0.05726786582401565</v>
      </c>
      <c r="K1008" s="95" t="s">
        <v>160</v>
      </c>
      <c r="L1008" s="119"/>
      <c r="M1008" s="20">
        <f t="shared" si="165"/>
        <v>143.22</v>
      </c>
      <c r="N1008" s="118">
        <v>168.13</v>
      </c>
      <c r="O1008" s="116"/>
      <c r="P1008" s="116" t="s">
        <v>61</v>
      </c>
      <c r="Q1008" s="117"/>
      <c r="R1008" s="118"/>
      <c r="S1008" s="117"/>
      <c r="T1008" s="116"/>
      <c r="V1008" s="15"/>
    </row>
    <row r="1009" spans="1:23" s="114" customFormat="1" ht="15">
      <c r="A1009" s="12" t="s">
        <v>61</v>
      </c>
      <c r="B1009" s="65">
        <v>42109.27222222222</v>
      </c>
      <c r="C1009" s="14">
        <v>156.13</v>
      </c>
      <c r="D1009" s="15">
        <v>50</v>
      </c>
      <c r="E1009" s="15">
        <f t="shared" si="161"/>
        <v>7817.5</v>
      </c>
      <c r="F1009" s="65"/>
      <c r="G1009" s="14">
        <v>168.13</v>
      </c>
      <c r="H1009" s="15">
        <f t="shared" si="162"/>
        <v>8406.5</v>
      </c>
      <c r="I1009" s="16">
        <f t="shared" si="163"/>
        <v>589</v>
      </c>
      <c r="J1009" s="19">
        <f t="shared" si="164"/>
        <v>0.07534377998081228</v>
      </c>
      <c r="K1009" s="95" t="s">
        <v>221</v>
      </c>
      <c r="L1009" s="119"/>
      <c r="M1009" s="20">
        <f t="shared" si="165"/>
        <v>145.2009</v>
      </c>
      <c r="N1009" s="118">
        <v>168.13</v>
      </c>
      <c r="O1009" s="116"/>
      <c r="P1009" s="116" t="s">
        <v>61</v>
      </c>
      <c r="Q1009" s="117"/>
      <c r="R1009" s="118"/>
      <c r="S1009" s="117"/>
      <c r="T1009" s="116"/>
      <c r="V1009" s="15"/>
      <c r="W1009" s="29"/>
    </row>
    <row r="1010" spans="1:22" s="114" customFormat="1" ht="15">
      <c r="A1010" s="12" t="s">
        <v>169</v>
      </c>
      <c r="B1010" s="65">
        <v>42076.538194444445</v>
      </c>
      <c r="C1010" s="14">
        <v>56.64</v>
      </c>
      <c r="D1010" s="15">
        <v>320</v>
      </c>
      <c r="E1010" s="15">
        <f t="shared" si="161"/>
        <v>18135.8</v>
      </c>
      <c r="F1010" s="13"/>
      <c r="G1010" s="14">
        <v>66.32</v>
      </c>
      <c r="H1010" s="15">
        <f t="shared" si="162"/>
        <v>21222.399999999998</v>
      </c>
      <c r="I1010" s="16">
        <f t="shared" si="163"/>
        <v>3086.5999999999985</v>
      </c>
      <c r="J1010" s="19">
        <f t="shared" si="164"/>
        <v>0.17019376040759154</v>
      </c>
      <c r="K1010" s="95" t="s">
        <v>170</v>
      </c>
      <c r="L1010" s="119">
        <v>57.48</v>
      </c>
      <c r="M1010" s="41">
        <f t="shared" si="165"/>
        <v>52.675200000000004</v>
      </c>
      <c r="N1010" s="118">
        <v>71.25</v>
      </c>
      <c r="O1010" s="121">
        <v>42132</v>
      </c>
      <c r="P1010" s="116" t="s">
        <v>169</v>
      </c>
      <c r="Q1010" s="117">
        <v>67.23</v>
      </c>
      <c r="R1010" s="118">
        <f>Q1010*0.855</f>
        <v>57.48165</v>
      </c>
      <c r="S1010" s="117">
        <f>1.11*C1010</f>
        <v>62.870400000000004</v>
      </c>
      <c r="T1010" s="116"/>
      <c r="U1010" s="117"/>
      <c r="V1010" s="15"/>
    </row>
    <row r="1011" spans="1:22" s="114" customFormat="1" ht="15">
      <c r="A1011" s="12" t="s">
        <v>169</v>
      </c>
      <c r="B1011" s="65">
        <v>42082.302777777775</v>
      </c>
      <c r="C1011" s="14">
        <v>57.9</v>
      </c>
      <c r="D1011" s="15">
        <v>190</v>
      </c>
      <c r="E1011" s="15">
        <f t="shared" si="161"/>
        <v>11012</v>
      </c>
      <c r="F1011" s="13"/>
      <c r="G1011" s="14">
        <v>66.32</v>
      </c>
      <c r="H1011" s="15">
        <f t="shared" si="162"/>
        <v>12600.8</v>
      </c>
      <c r="I1011" s="16">
        <f t="shared" si="163"/>
        <v>1588.7999999999993</v>
      </c>
      <c r="J1011" s="19">
        <f t="shared" si="164"/>
        <v>0.14427896839811108</v>
      </c>
      <c r="K1011" s="95" t="s">
        <v>217</v>
      </c>
      <c r="L1011" s="119">
        <v>57.48</v>
      </c>
      <c r="M1011" s="41">
        <f t="shared" si="165"/>
        <v>53.847</v>
      </c>
      <c r="N1011" s="118">
        <v>71.25</v>
      </c>
      <c r="O1011" s="116"/>
      <c r="P1011" s="116" t="s">
        <v>169</v>
      </c>
      <c r="Q1011" s="117"/>
      <c r="R1011" s="118"/>
      <c r="S1011" s="117"/>
      <c r="T1011" s="116"/>
      <c r="V1011" s="15"/>
    </row>
    <row r="1012" spans="1:23" s="114" customFormat="1" ht="15">
      <c r="A1012" s="12" t="s">
        <v>169</v>
      </c>
      <c r="B1012" s="65">
        <v>42103.433333333334</v>
      </c>
      <c r="C1012" s="14">
        <v>59.27</v>
      </c>
      <c r="D1012" s="15">
        <v>125</v>
      </c>
      <c r="E1012" s="15">
        <f t="shared" si="161"/>
        <v>7419.75</v>
      </c>
      <c r="F1012" s="13"/>
      <c r="G1012" s="14">
        <v>66.32</v>
      </c>
      <c r="H1012" s="15">
        <f t="shared" si="162"/>
        <v>8290</v>
      </c>
      <c r="I1012" s="16">
        <f t="shared" si="163"/>
        <v>870.25</v>
      </c>
      <c r="J1012" s="19">
        <f t="shared" si="164"/>
        <v>0.1172883183395667</v>
      </c>
      <c r="K1012" s="95" t="s">
        <v>216</v>
      </c>
      <c r="L1012" s="119">
        <v>57.48</v>
      </c>
      <c r="M1012" s="41">
        <f t="shared" si="165"/>
        <v>55.121100000000006</v>
      </c>
      <c r="N1012" s="118">
        <v>71.25</v>
      </c>
      <c r="O1012" s="116"/>
      <c r="P1012" s="116" t="s">
        <v>169</v>
      </c>
      <c r="Q1012" s="117"/>
      <c r="R1012" s="118"/>
      <c r="S1012" s="117"/>
      <c r="T1012" s="116"/>
      <c r="V1012" s="15"/>
      <c r="W1012" s="29"/>
    </row>
    <row r="1013" spans="1:23" s="114" customFormat="1" ht="15">
      <c r="A1013" s="12" t="s">
        <v>169</v>
      </c>
      <c r="B1013" s="65">
        <v>42173.30486111111</v>
      </c>
      <c r="C1013" s="14">
        <v>62.25</v>
      </c>
      <c r="D1013" s="15">
        <v>65</v>
      </c>
      <c r="E1013" s="15">
        <f t="shared" si="161"/>
        <v>4057.25</v>
      </c>
      <c r="F1013" s="13"/>
      <c r="G1013" s="14">
        <v>66.32</v>
      </c>
      <c r="H1013" s="15">
        <f t="shared" si="162"/>
        <v>4310.799999999999</v>
      </c>
      <c r="I1013" s="16">
        <f t="shared" si="163"/>
        <v>253.54999999999927</v>
      </c>
      <c r="J1013" s="19">
        <f t="shared" si="164"/>
        <v>0.062493067964754276</v>
      </c>
      <c r="K1013" s="95" t="s">
        <v>270</v>
      </c>
      <c r="L1013" s="119"/>
      <c r="M1013" s="20">
        <f t="shared" si="165"/>
        <v>57.892500000000005</v>
      </c>
      <c r="N1013" s="118">
        <v>71.25</v>
      </c>
      <c r="O1013" s="116"/>
      <c r="P1013" s="116" t="s">
        <v>169</v>
      </c>
      <c r="Q1013" s="117"/>
      <c r="R1013" s="118"/>
      <c r="S1013" s="117"/>
      <c r="T1013" s="116"/>
      <c r="V1013" s="15"/>
      <c r="W1013" s="29"/>
    </row>
    <row r="1014" spans="1:23" s="114" customFormat="1" ht="15">
      <c r="A1014" s="12" t="s">
        <v>169</v>
      </c>
      <c r="B1014" s="65">
        <v>42185.43472222222</v>
      </c>
      <c r="C1014" s="14">
        <v>65.19</v>
      </c>
      <c r="D1014" s="15">
        <v>140</v>
      </c>
      <c r="E1014" s="15">
        <f t="shared" si="161"/>
        <v>9137.6</v>
      </c>
      <c r="F1014" s="13"/>
      <c r="G1014" s="14">
        <v>66.32</v>
      </c>
      <c r="H1014" s="15">
        <f t="shared" si="162"/>
        <v>9284.8</v>
      </c>
      <c r="I1014" s="16">
        <f t="shared" si="163"/>
        <v>147.1999999999989</v>
      </c>
      <c r="J1014" s="19">
        <f t="shared" si="164"/>
        <v>0.0161092628261249</v>
      </c>
      <c r="K1014" s="95" t="s">
        <v>278</v>
      </c>
      <c r="L1014" s="119"/>
      <c r="M1014" s="20">
        <f t="shared" si="165"/>
        <v>60.6267</v>
      </c>
      <c r="N1014" s="118">
        <v>71.25</v>
      </c>
      <c r="O1014" s="116"/>
      <c r="P1014" s="116" t="s">
        <v>169</v>
      </c>
      <c r="Q1014" s="117"/>
      <c r="R1014" s="118"/>
      <c r="S1014" s="117"/>
      <c r="T1014" s="116"/>
      <c r="V1014" s="15"/>
      <c r="W1014" s="29"/>
    </row>
    <row r="1015" spans="1:22" s="114" customFormat="1" ht="15">
      <c r="A1015" s="12" t="s">
        <v>208</v>
      </c>
      <c r="B1015" s="65">
        <v>42090.308333333334</v>
      </c>
      <c r="C1015" s="14">
        <v>214</v>
      </c>
      <c r="D1015" s="15">
        <v>95</v>
      </c>
      <c r="E1015" s="15">
        <f t="shared" si="161"/>
        <v>20341</v>
      </c>
      <c r="F1015" s="13"/>
      <c r="G1015" s="14">
        <v>235.9</v>
      </c>
      <c r="H1015" s="15">
        <f t="shared" si="162"/>
        <v>22410.5</v>
      </c>
      <c r="I1015" s="16">
        <f t="shared" si="163"/>
        <v>2069.5</v>
      </c>
      <c r="J1015" s="19">
        <f t="shared" si="164"/>
        <v>0.1017403274175311</v>
      </c>
      <c r="K1015" s="95" t="s">
        <v>212</v>
      </c>
      <c r="L1015" s="119">
        <v>202.32</v>
      </c>
      <c r="M1015" s="41">
        <f t="shared" si="165"/>
        <v>199.02</v>
      </c>
      <c r="N1015" s="118">
        <v>267.7</v>
      </c>
      <c r="O1015" s="121">
        <v>42136</v>
      </c>
      <c r="P1015" s="116" t="s">
        <v>208</v>
      </c>
      <c r="Q1015" s="117">
        <v>236.63</v>
      </c>
      <c r="R1015" s="118">
        <f>Q1015*0.855</f>
        <v>202.31865</v>
      </c>
      <c r="S1015" s="117">
        <f>1.11*C1015</f>
        <v>237.54000000000002</v>
      </c>
      <c r="T1015" s="116"/>
      <c r="U1015" s="117"/>
      <c r="V1015" s="15"/>
    </row>
    <row r="1016" spans="1:22" s="114" customFormat="1" ht="15">
      <c r="A1016" s="12" t="s">
        <v>208</v>
      </c>
      <c r="B1016" s="65">
        <v>42093.29305555556</v>
      </c>
      <c r="C1016" s="14">
        <v>219.41</v>
      </c>
      <c r="D1016" s="15">
        <v>55</v>
      </c>
      <c r="E1016" s="15">
        <f t="shared" si="161"/>
        <v>12078.55</v>
      </c>
      <c r="F1016" s="13"/>
      <c r="G1016" s="14">
        <v>235.9</v>
      </c>
      <c r="H1016" s="15">
        <f t="shared" si="162"/>
        <v>12974.5</v>
      </c>
      <c r="I1016" s="16">
        <f t="shared" si="163"/>
        <v>895.9500000000007</v>
      </c>
      <c r="J1016" s="19">
        <f t="shared" si="164"/>
        <v>0.07417695004781209</v>
      </c>
      <c r="K1016" s="95" t="s">
        <v>211</v>
      </c>
      <c r="L1016" s="119"/>
      <c r="M1016" s="20">
        <f t="shared" si="165"/>
        <v>204.0513</v>
      </c>
      <c r="N1016" s="118">
        <v>267.7</v>
      </c>
      <c r="O1016" s="116"/>
      <c r="P1016" s="116" t="s">
        <v>208</v>
      </c>
      <c r="Q1016" s="117"/>
      <c r="R1016" s="118"/>
      <c r="S1016" s="117"/>
      <c r="T1016" s="116"/>
      <c r="V1016" s="15"/>
    </row>
    <row r="1017" spans="1:23" s="114" customFormat="1" ht="15">
      <c r="A1017" s="12" t="s">
        <v>208</v>
      </c>
      <c r="B1017" s="65">
        <v>42117.27569444444</v>
      </c>
      <c r="C1017" s="14">
        <v>226.35</v>
      </c>
      <c r="D1017" s="15">
        <v>35</v>
      </c>
      <c r="E1017" s="15">
        <f t="shared" si="161"/>
        <v>7933.25</v>
      </c>
      <c r="F1017" s="13"/>
      <c r="G1017" s="14">
        <v>235.9</v>
      </c>
      <c r="H1017" s="15">
        <f t="shared" si="162"/>
        <v>8256.5</v>
      </c>
      <c r="I1017" s="16">
        <f t="shared" si="163"/>
        <v>323.25</v>
      </c>
      <c r="J1017" s="19">
        <f t="shared" si="164"/>
        <v>0.040746226325906784</v>
      </c>
      <c r="K1017" s="95" t="s">
        <v>236</v>
      </c>
      <c r="L1017" s="119"/>
      <c r="M1017" s="20">
        <f t="shared" si="165"/>
        <v>210.5055</v>
      </c>
      <c r="N1017" s="118">
        <v>267.7</v>
      </c>
      <c r="O1017" s="116"/>
      <c r="P1017" s="116" t="s">
        <v>208</v>
      </c>
      <c r="Q1017" s="117"/>
      <c r="R1017" s="118"/>
      <c r="S1017" s="117"/>
      <c r="T1017" s="116"/>
      <c r="V1017" s="15"/>
      <c r="W1017" s="29"/>
    </row>
    <row r="1018" spans="1:23" s="114" customFormat="1" ht="15">
      <c r="A1018" s="12" t="s">
        <v>66</v>
      </c>
      <c r="B1018" s="65">
        <v>42156.31875</v>
      </c>
      <c r="C1018" s="14">
        <v>41</v>
      </c>
      <c r="D1018" s="15">
        <v>1900</v>
      </c>
      <c r="E1018" s="15">
        <f t="shared" si="161"/>
        <v>77911</v>
      </c>
      <c r="F1018" s="13"/>
      <c r="G1018" s="14">
        <v>45.61</v>
      </c>
      <c r="H1018" s="15">
        <f t="shared" si="162"/>
        <v>86659</v>
      </c>
      <c r="I1018" s="16">
        <f t="shared" si="163"/>
        <v>8748</v>
      </c>
      <c r="J1018" s="19">
        <f t="shared" si="164"/>
        <v>0.11228196275237129</v>
      </c>
      <c r="K1018" s="95" t="s">
        <v>256</v>
      </c>
      <c r="L1018" s="119">
        <v>39.8</v>
      </c>
      <c r="M1018" s="41">
        <f t="shared" si="165"/>
        <v>38.13</v>
      </c>
      <c r="N1018" s="118">
        <v>52.13</v>
      </c>
      <c r="O1018" s="116"/>
      <c r="P1018" s="116" t="s">
        <v>66</v>
      </c>
      <c r="Q1018" s="117">
        <v>46.55</v>
      </c>
      <c r="R1018" s="118">
        <f>Q1018*0.855</f>
        <v>39.80025</v>
      </c>
      <c r="S1018" s="117">
        <f>1.11*C1018</f>
        <v>45.510000000000005</v>
      </c>
      <c r="T1018" s="116"/>
      <c r="V1018" s="15"/>
      <c r="W1018" s="29"/>
    </row>
    <row r="1019" spans="1:23" s="114" customFormat="1" ht="15">
      <c r="A1019" s="12" t="s">
        <v>66</v>
      </c>
      <c r="B1019" s="65">
        <v>42158.308333333334</v>
      </c>
      <c r="C1019" s="14">
        <v>42.1</v>
      </c>
      <c r="D1019" s="15">
        <v>1100</v>
      </c>
      <c r="E1019" s="15">
        <f t="shared" si="161"/>
        <v>46321</v>
      </c>
      <c r="F1019" s="13"/>
      <c r="G1019" s="14">
        <v>45.61</v>
      </c>
      <c r="H1019" s="15">
        <f t="shared" si="162"/>
        <v>50171</v>
      </c>
      <c r="I1019" s="16">
        <f t="shared" si="163"/>
        <v>3850</v>
      </c>
      <c r="J1019" s="19">
        <f t="shared" si="164"/>
        <v>0.08311564948943244</v>
      </c>
      <c r="K1019" s="95" t="s">
        <v>261</v>
      </c>
      <c r="L1019" s="119">
        <v>39.8</v>
      </c>
      <c r="M1019" s="41">
        <f t="shared" si="165"/>
        <v>39.153000000000006</v>
      </c>
      <c r="N1019" s="118">
        <v>52.13</v>
      </c>
      <c r="O1019" s="116"/>
      <c r="P1019" s="116" t="s">
        <v>66</v>
      </c>
      <c r="Q1019" s="117"/>
      <c r="R1019" s="118"/>
      <c r="S1019" s="117"/>
      <c r="T1019" s="116"/>
      <c r="V1019" s="15"/>
      <c r="W1019" s="29"/>
    </row>
    <row r="1020" spans="1:23" s="114" customFormat="1" ht="15">
      <c r="A1020" s="12" t="s">
        <v>66</v>
      </c>
      <c r="B1020" s="65">
        <v>41798.27222222222</v>
      </c>
      <c r="C1020" s="14">
        <v>43.43</v>
      </c>
      <c r="D1020" s="15">
        <v>700</v>
      </c>
      <c r="E1020" s="15">
        <f t="shared" si="161"/>
        <v>30412</v>
      </c>
      <c r="F1020" s="13"/>
      <c r="G1020" s="14">
        <v>45.61</v>
      </c>
      <c r="H1020" s="15">
        <f t="shared" si="162"/>
        <v>31927</v>
      </c>
      <c r="I1020" s="16">
        <f t="shared" si="163"/>
        <v>1515</v>
      </c>
      <c r="J1020" s="19">
        <f t="shared" si="164"/>
        <v>0.04981586215967381</v>
      </c>
      <c r="K1020" s="95" t="s">
        <v>260</v>
      </c>
      <c r="L1020" s="119"/>
      <c r="M1020" s="20">
        <f t="shared" si="165"/>
        <v>40.389900000000004</v>
      </c>
      <c r="N1020" s="118">
        <v>52.13</v>
      </c>
      <c r="O1020" s="116"/>
      <c r="P1020" s="116" t="s">
        <v>66</v>
      </c>
      <c r="Q1020" s="117"/>
      <c r="R1020" s="118"/>
      <c r="S1020" s="117"/>
      <c r="T1020" s="116"/>
      <c r="V1020" s="15"/>
      <c r="W1020" s="29"/>
    </row>
    <row r="1021" spans="1:23" s="114" customFormat="1" ht="15">
      <c r="A1021" s="85" t="s">
        <v>66</v>
      </c>
      <c r="B1021" s="65">
        <v>42195.27569444444</v>
      </c>
      <c r="C1021" s="14">
        <v>44.78</v>
      </c>
      <c r="D1021" s="15">
        <v>370</v>
      </c>
      <c r="E1021" s="15">
        <f t="shared" si="161"/>
        <v>16579.600000000002</v>
      </c>
      <c r="F1021" s="13"/>
      <c r="G1021" s="14">
        <v>45.61</v>
      </c>
      <c r="H1021" s="15">
        <f t="shared" si="162"/>
        <v>16875.7</v>
      </c>
      <c r="I1021" s="16">
        <f t="shared" si="163"/>
        <v>296.09999999999854</v>
      </c>
      <c r="J1021" s="19">
        <f t="shared" si="164"/>
        <v>0.017859296967357385</v>
      </c>
      <c r="K1021" s="95" t="s">
        <v>280</v>
      </c>
      <c r="L1021" s="119"/>
      <c r="M1021" s="20">
        <f t="shared" si="165"/>
        <v>41.6454</v>
      </c>
      <c r="N1021" s="118">
        <v>52.13</v>
      </c>
      <c r="O1021" s="116"/>
      <c r="P1021" s="116" t="s">
        <v>66</v>
      </c>
      <c r="Q1021" s="117"/>
      <c r="R1021" s="118"/>
      <c r="S1021" s="117"/>
      <c r="T1021" s="116"/>
      <c r="V1021" s="15"/>
      <c r="W1021" s="29"/>
    </row>
    <row r="1022" spans="1:23" s="114" customFormat="1" ht="15">
      <c r="A1022" s="12" t="s">
        <v>59</v>
      </c>
      <c r="B1022" s="65">
        <v>42164.36944444444</v>
      </c>
      <c r="C1022" s="14">
        <v>47.25</v>
      </c>
      <c r="D1022" s="15">
        <v>1600</v>
      </c>
      <c r="E1022" s="15">
        <f t="shared" si="161"/>
        <v>75611</v>
      </c>
      <c r="F1022" s="13"/>
      <c r="G1022" s="14">
        <v>57.35</v>
      </c>
      <c r="H1022" s="15">
        <f t="shared" si="162"/>
        <v>91760</v>
      </c>
      <c r="I1022" s="16">
        <f t="shared" si="163"/>
        <v>16149</v>
      </c>
      <c r="J1022" s="19">
        <f t="shared" si="164"/>
        <v>0.21358003465104283</v>
      </c>
      <c r="K1022" s="95" t="s">
        <v>263</v>
      </c>
      <c r="L1022" s="119">
        <v>49.59</v>
      </c>
      <c r="M1022" s="41">
        <f t="shared" si="165"/>
        <v>43.9425</v>
      </c>
      <c r="N1022" s="118">
        <v>60.98</v>
      </c>
      <c r="O1022" s="121">
        <v>42223</v>
      </c>
      <c r="P1022" s="116" t="s">
        <v>59</v>
      </c>
      <c r="Q1022" s="117">
        <v>58</v>
      </c>
      <c r="R1022" s="118">
        <f>Q1022*0.855</f>
        <v>49.589999999999996</v>
      </c>
      <c r="S1022" s="117">
        <f>1.11*C1022</f>
        <v>52.447500000000005</v>
      </c>
      <c r="T1022" s="116"/>
      <c r="V1022" s="15"/>
      <c r="W1022" s="29"/>
    </row>
    <row r="1023" spans="1:23" s="114" customFormat="1" ht="15">
      <c r="A1023" s="12" t="s">
        <v>59</v>
      </c>
      <c r="B1023" s="65">
        <v>42164.478472222225</v>
      </c>
      <c r="C1023" s="14">
        <v>48.3</v>
      </c>
      <c r="D1023" s="15">
        <v>1000</v>
      </c>
      <c r="E1023" s="15">
        <f t="shared" si="161"/>
        <v>48311</v>
      </c>
      <c r="F1023" s="13"/>
      <c r="G1023" s="14">
        <v>57.35</v>
      </c>
      <c r="H1023" s="15">
        <f t="shared" si="162"/>
        <v>57350</v>
      </c>
      <c r="I1023" s="16">
        <f t="shared" si="163"/>
        <v>9039</v>
      </c>
      <c r="J1023" s="19">
        <f t="shared" si="164"/>
        <v>0.1871002463207137</v>
      </c>
      <c r="K1023" s="95" t="s">
        <v>265</v>
      </c>
      <c r="L1023" s="119">
        <v>49.59</v>
      </c>
      <c r="M1023" s="41">
        <f t="shared" si="165"/>
        <v>44.919</v>
      </c>
      <c r="N1023" s="118">
        <v>60.98</v>
      </c>
      <c r="O1023" s="116"/>
      <c r="P1023" s="116" t="s">
        <v>59</v>
      </c>
      <c r="Q1023" s="117"/>
      <c r="R1023" s="118"/>
      <c r="S1023" s="117"/>
      <c r="T1023" s="116"/>
      <c r="V1023" s="15"/>
      <c r="W1023" s="29"/>
    </row>
    <row r="1024" spans="1:23" s="114" customFormat="1" ht="15">
      <c r="A1024" s="12" t="s">
        <v>59</v>
      </c>
      <c r="B1024" s="65">
        <v>42166.291666666664</v>
      </c>
      <c r="C1024" s="14">
        <v>49.14</v>
      </c>
      <c r="D1024" s="15">
        <v>600</v>
      </c>
      <c r="E1024" s="15">
        <f t="shared" si="161"/>
        <v>29495</v>
      </c>
      <c r="F1024" s="13"/>
      <c r="G1024" s="14">
        <v>57.35</v>
      </c>
      <c r="H1024" s="15">
        <f t="shared" si="162"/>
        <v>34410</v>
      </c>
      <c r="I1024" s="16">
        <f t="shared" si="163"/>
        <v>4915</v>
      </c>
      <c r="J1024" s="19">
        <f t="shared" si="164"/>
        <v>0.1666384132903882</v>
      </c>
      <c r="K1024" s="95" t="s">
        <v>264</v>
      </c>
      <c r="L1024" s="119">
        <v>49.59</v>
      </c>
      <c r="M1024" s="41">
        <f t="shared" si="165"/>
        <v>45.7002</v>
      </c>
      <c r="N1024" s="118">
        <v>60.98</v>
      </c>
      <c r="O1024" s="116"/>
      <c r="P1024" s="116" t="s">
        <v>59</v>
      </c>
      <c r="Q1024" s="117"/>
      <c r="R1024" s="118"/>
      <c r="S1024" s="117"/>
      <c r="T1024" s="116"/>
      <c r="V1024" s="15"/>
      <c r="W1024" s="29"/>
    </row>
    <row r="1025" spans="1:23" s="114" customFormat="1" ht="15">
      <c r="A1025" s="85" t="s">
        <v>59</v>
      </c>
      <c r="B1025" s="65">
        <v>42191.27777777778</v>
      </c>
      <c r="C1025" s="14">
        <v>55.44</v>
      </c>
      <c r="D1025" s="15">
        <v>640</v>
      </c>
      <c r="E1025" s="15">
        <f t="shared" si="161"/>
        <v>35492.6</v>
      </c>
      <c r="F1025" s="13"/>
      <c r="G1025" s="14">
        <v>57.35</v>
      </c>
      <c r="H1025" s="15">
        <f t="shared" si="162"/>
        <v>36704</v>
      </c>
      <c r="I1025" s="16">
        <f t="shared" si="163"/>
        <v>1211.4000000000015</v>
      </c>
      <c r="J1025" s="19">
        <f t="shared" si="164"/>
        <v>0.03413105830511153</v>
      </c>
      <c r="K1025" s="95" t="s">
        <v>281</v>
      </c>
      <c r="L1025" s="119">
        <v>49.59</v>
      </c>
      <c r="M1025" s="20">
        <f t="shared" si="165"/>
        <v>51.559200000000004</v>
      </c>
      <c r="N1025" s="118">
        <v>60.98</v>
      </c>
      <c r="O1025" s="116"/>
      <c r="P1025" s="116" t="s">
        <v>59</v>
      </c>
      <c r="Q1025" s="117"/>
      <c r="R1025" s="118"/>
      <c r="S1025" s="117"/>
      <c r="T1025" s="116"/>
      <c r="V1025" s="15"/>
      <c r="W1025" s="29"/>
    </row>
    <row r="1026" spans="1:23" s="114" customFormat="1" ht="15">
      <c r="A1026" s="12" t="s">
        <v>48</v>
      </c>
      <c r="B1026" s="65">
        <v>42174.53472222222</v>
      </c>
      <c r="C1026" s="14">
        <v>82.6</v>
      </c>
      <c r="D1026" s="15">
        <v>950</v>
      </c>
      <c r="E1026" s="15">
        <f t="shared" si="161"/>
        <v>78481</v>
      </c>
      <c r="F1026" s="13"/>
      <c r="G1026" s="14">
        <v>87.95</v>
      </c>
      <c r="H1026" s="15">
        <f t="shared" si="162"/>
        <v>83552.5</v>
      </c>
      <c r="I1026" s="16">
        <f t="shared" si="163"/>
        <v>5071.5</v>
      </c>
      <c r="J1026" s="19">
        <f t="shared" si="164"/>
        <v>0.064620736229151</v>
      </c>
      <c r="K1026" s="95" t="s">
        <v>272</v>
      </c>
      <c r="L1026" s="119"/>
      <c r="M1026" s="20">
        <f t="shared" si="165"/>
        <v>76.818</v>
      </c>
      <c r="N1026" s="117">
        <v>103.69</v>
      </c>
      <c r="O1026" s="121">
        <v>42230</v>
      </c>
      <c r="P1026" s="116" t="s">
        <v>48</v>
      </c>
      <c r="Q1026" s="117">
        <v>89.4</v>
      </c>
      <c r="R1026" s="118"/>
      <c r="S1026" s="117">
        <f>1.11*C1026</f>
        <v>91.686</v>
      </c>
      <c r="T1026" s="116"/>
      <c r="V1026" s="15"/>
      <c r="W1026" s="29"/>
    </row>
    <row r="1027" spans="1:23" s="114" customFormat="1" ht="15">
      <c r="A1027" s="12" t="s">
        <v>48</v>
      </c>
      <c r="B1027" s="65">
        <v>42177.37013888889</v>
      </c>
      <c r="C1027" s="14">
        <v>84.55</v>
      </c>
      <c r="D1027" s="15">
        <v>550</v>
      </c>
      <c r="E1027" s="15">
        <f t="shared" si="161"/>
        <v>46513.5</v>
      </c>
      <c r="F1027" s="13"/>
      <c r="G1027" s="14">
        <v>87.95</v>
      </c>
      <c r="H1027" s="15">
        <f t="shared" si="162"/>
        <v>48372.5</v>
      </c>
      <c r="I1027" s="16">
        <f t="shared" si="163"/>
        <v>1859</v>
      </c>
      <c r="J1027" s="19">
        <f t="shared" si="164"/>
        <v>0.03996689133262386</v>
      </c>
      <c r="K1027" s="95" t="s">
        <v>274</v>
      </c>
      <c r="L1027" s="119"/>
      <c r="M1027" s="20">
        <f t="shared" si="165"/>
        <v>78.6315</v>
      </c>
      <c r="N1027" s="117">
        <v>103.69</v>
      </c>
      <c r="O1027" s="116"/>
      <c r="P1027" s="116" t="s">
        <v>48</v>
      </c>
      <c r="Q1027" s="117"/>
      <c r="R1027" s="118"/>
      <c r="S1027" s="117"/>
      <c r="T1027" s="116"/>
      <c r="V1027" s="15"/>
      <c r="W1027" s="29"/>
    </row>
    <row r="1028" spans="1:23" s="114" customFormat="1" ht="15">
      <c r="A1028" s="12" t="s">
        <v>48</v>
      </c>
      <c r="B1028" s="65">
        <v>42178.302777777775</v>
      </c>
      <c r="C1028" s="14">
        <v>86.26</v>
      </c>
      <c r="D1028" s="15">
        <v>350</v>
      </c>
      <c r="E1028" s="15">
        <f t="shared" si="161"/>
        <v>30202</v>
      </c>
      <c r="F1028" s="13"/>
      <c r="G1028" s="14">
        <v>87.95</v>
      </c>
      <c r="H1028" s="15">
        <f t="shared" si="162"/>
        <v>30782.5</v>
      </c>
      <c r="I1028" s="16">
        <f t="shared" si="163"/>
        <v>580.5</v>
      </c>
      <c r="J1028" s="19">
        <f t="shared" si="164"/>
        <v>0.01922058141844911</v>
      </c>
      <c r="K1028" s="95" t="s">
        <v>275</v>
      </c>
      <c r="L1028" s="119"/>
      <c r="M1028" s="20">
        <f t="shared" si="165"/>
        <v>80.22180000000002</v>
      </c>
      <c r="N1028" s="117">
        <v>103.69</v>
      </c>
      <c r="O1028" s="116"/>
      <c r="P1028" s="116" t="s">
        <v>48</v>
      </c>
      <c r="Q1028" s="117"/>
      <c r="R1028" s="118"/>
      <c r="S1028" s="117"/>
      <c r="T1028" s="116"/>
      <c r="V1028" s="15"/>
      <c r="W1028" s="29"/>
    </row>
    <row r="1029" spans="1:20" s="114" customFormat="1" ht="15">
      <c r="A1029" s="12"/>
      <c r="B1029" s="13"/>
      <c r="C1029" s="14"/>
      <c r="D1029" s="15"/>
      <c r="E1029" s="15"/>
      <c r="F1029" s="13"/>
      <c r="G1029" s="14"/>
      <c r="H1029" s="15"/>
      <c r="I1029" s="16"/>
      <c r="J1029" s="19"/>
      <c r="K1029" s="95"/>
      <c r="L1029" s="119"/>
      <c r="M1029" s="32"/>
      <c r="N1029" s="118"/>
      <c r="Q1029" s="117"/>
      <c r="R1029" s="117"/>
      <c r="S1029" s="117"/>
      <c r="T1029" s="116"/>
    </row>
    <row r="1030" spans="1:20" s="114" customFormat="1" ht="15">
      <c r="A1030" s="21" t="s">
        <v>14</v>
      </c>
      <c r="B1030" s="22"/>
      <c r="C1030" s="23"/>
      <c r="D1030" s="24"/>
      <c r="E1030" s="24">
        <f>SUM(E997:E1029)</f>
        <v>756944.1</v>
      </c>
      <c r="F1030" s="22"/>
      <c r="G1030" s="23"/>
      <c r="H1030" s="24">
        <f>SUM(H997:H1029)</f>
        <v>880807.05</v>
      </c>
      <c r="I1030" s="25">
        <f>SUM(I997:I1029)</f>
        <v>123862.94999999998</v>
      </c>
      <c r="J1030" s="26">
        <f>I1030/E1030</f>
        <v>0.1636355313424069</v>
      </c>
      <c r="K1030" s="27" t="s">
        <v>15</v>
      </c>
      <c r="L1030" s="28">
        <f>100000+I1032</f>
        <v>382889.00999999995</v>
      </c>
      <c r="M1030" s="81"/>
      <c r="N1030" s="89"/>
      <c r="Q1030" s="117"/>
      <c r="R1030" s="117"/>
      <c r="S1030" s="117"/>
      <c r="T1030" s="116"/>
    </row>
    <row r="1031" spans="1:20" s="114" customFormat="1" ht="15">
      <c r="A1031" s="12" t="s">
        <v>67</v>
      </c>
      <c r="B1031" s="22"/>
      <c r="C1031" s="25">
        <f>I1032-I992</f>
        <v>25972.29999999999</v>
      </c>
      <c r="D1031" s="26">
        <f>C1031/H990</f>
        <v>0.032353651774114256</v>
      </c>
      <c r="E1031" s="24"/>
      <c r="F1031" s="22" t="s">
        <v>16</v>
      </c>
      <c r="G1031" s="117"/>
      <c r="H1031" s="29" t="str">
        <f>IF(ABS(H1030-E1030-I1030)&lt;1,"","ERROR")</f>
        <v/>
      </c>
      <c r="I1031" s="16">
        <v>159026.05999999997</v>
      </c>
      <c r="J1031" s="26"/>
      <c r="K1031" s="111" t="s">
        <v>17</v>
      </c>
      <c r="L1031" s="28">
        <f>(2*(100000+I1032))-E1030</f>
        <v>8833.919999999925</v>
      </c>
      <c r="M1031" s="31"/>
      <c r="Q1031" s="117"/>
      <c r="R1031" s="117"/>
      <c r="S1031" s="117"/>
      <c r="T1031" s="116"/>
    </row>
    <row r="1032" spans="1:20" s="114" customFormat="1" ht="15">
      <c r="A1032" s="12" t="s">
        <v>54</v>
      </c>
      <c r="B1032" s="22"/>
      <c r="C1032" s="25">
        <f>L1030-L990</f>
        <v>25972.29999999999</v>
      </c>
      <c r="D1032" s="26">
        <f>C1032/L990</f>
        <v>0.07276851789875569</v>
      </c>
      <c r="E1032" s="24"/>
      <c r="F1032" s="22" t="s">
        <v>18</v>
      </c>
      <c r="G1032" s="117"/>
      <c r="H1032" s="29"/>
      <c r="I1032" s="30">
        <f>I1030+I1031</f>
        <v>282889.00999999995</v>
      </c>
      <c r="J1032" s="26">
        <f>I1032/100000</f>
        <v>2.8288900999999993</v>
      </c>
      <c r="K1032" s="111" t="s">
        <v>19</v>
      </c>
      <c r="L1032" s="26">
        <f>E1030/(2*(100000+I1032))</f>
        <v>0.9884641243685737</v>
      </c>
      <c r="M1032" s="31"/>
      <c r="Q1032" s="117"/>
      <c r="R1032" s="117"/>
      <c r="S1032" s="117"/>
      <c r="T1032" s="116"/>
    </row>
    <row r="1033" spans="1:20" s="114" customFormat="1" ht="15">
      <c r="A1033" s="114">
        <v>7</v>
      </c>
      <c r="B1033" s="22"/>
      <c r="C1033" s="25"/>
      <c r="D1033" s="26"/>
      <c r="E1033" s="24"/>
      <c r="F1033" s="22"/>
      <c r="G1033" s="117"/>
      <c r="H1033" s="29"/>
      <c r="I1033" s="30"/>
      <c r="J1033" s="26"/>
      <c r="K1033" s="111"/>
      <c r="L1033" s="26"/>
      <c r="M1033" s="31"/>
      <c r="Q1033" s="117"/>
      <c r="R1033" s="117"/>
      <c r="S1033" s="117"/>
      <c r="T1033" s="116"/>
    </row>
    <row r="1034" spans="2:20" s="114" customFormat="1" ht="15">
      <c r="B1034" s="22"/>
      <c r="C1034" s="25"/>
      <c r="D1034" s="26"/>
      <c r="E1034" s="24"/>
      <c r="F1034" s="22"/>
      <c r="G1034" s="117"/>
      <c r="H1034" s="29"/>
      <c r="I1034" s="30"/>
      <c r="J1034" s="26"/>
      <c r="K1034" s="111"/>
      <c r="L1034" s="26"/>
      <c r="M1034" s="31"/>
      <c r="Q1034" s="117"/>
      <c r="R1034" s="117"/>
      <c r="S1034" s="117"/>
      <c r="T1034" s="116"/>
    </row>
    <row r="1035" spans="1:20" s="114" customFormat="1" ht="30.75" customHeight="1">
      <c r="A1035" s="108" t="s">
        <v>56</v>
      </c>
      <c r="B1035" s="384" t="s">
        <v>282</v>
      </c>
      <c r="C1035" s="384"/>
      <c r="D1035" s="384"/>
      <c r="E1035" s="384"/>
      <c r="F1035" s="384"/>
      <c r="G1035" s="384"/>
      <c r="H1035" s="384"/>
      <c r="I1035" s="384"/>
      <c r="J1035" s="384"/>
      <c r="K1035" s="384"/>
      <c r="L1035" s="384"/>
      <c r="M1035" s="384"/>
      <c r="N1035" s="384"/>
      <c r="O1035" s="92"/>
      <c r="P1035" s="92"/>
      <c r="Q1035" s="104"/>
      <c r="R1035" s="104"/>
      <c r="S1035" s="107"/>
      <c r="T1035" s="109"/>
    </row>
    <row r="1036" spans="1:22" s="114" customFormat="1" ht="15">
      <c r="A1036" s="2" t="s">
        <v>0</v>
      </c>
      <c r="B1036" s="3" t="s">
        <v>1</v>
      </c>
      <c r="C1036" s="4" t="s">
        <v>2</v>
      </c>
      <c r="D1036" s="5" t="s">
        <v>3</v>
      </c>
      <c r="E1036" s="6" t="s">
        <v>4</v>
      </c>
      <c r="F1036" s="3" t="s">
        <v>5</v>
      </c>
      <c r="G1036" s="7" t="s">
        <v>2</v>
      </c>
      <c r="H1036" s="6" t="s">
        <v>6</v>
      </c>
      <c r="I1036" s="6" t="s">
        <v>7</v>
      </c>
      <c r="J1036" s="8" t="s">
        <v>8</v>
      </c>
      <c r="K1036" s="9" t="s">
        <v>9</v>
      </c>
      <c r="L1036" s="10" t="s">
        <v>10</v>
      </c>
      <c r="M1036" s="11" t="s">
        <v>11</v>
      </c>
      <c r="N1036" s="103" t="s">
        <v>53</v>
      </c>
      <c r="O1036" s="105" t="s">
        <v>110</v>
      </c>
      <c r="P1036" s="106" t="s">
        <v>0</v>
      </c>
      <c r="Q1036" s="117" t="s">
        <v>13</v>
      </c>
      <c r="R1036" s="117" t="s">
        <v>70</v>
      </c>
      <c r="S1036" s="111" t="s">
        <v>103</v>
      </c>
      <c r="T1036" s="116" t="s">
        <v>107</v>
      </c>
      <c r="V1036" s="9"/>
    </row>
    <row r="1037" spans="1:22" s="114" customFormat="1" ht="15">
      <c r="A1037" s="12" t="s">
        <v>80</v>
      </c>
      <c r="B1037" s="65">
        <v>42011.30486111111</v>
      </c>
      <c r="C1037" s="14">
        <v>58.02</v>
      </c>
      <c r="D1037" s="15">
        <v>250</v>
      </c>
      <c r="E1037" s="15">
        <f aca="true" t="shared" si="166" ref="E1037:E1068">C1037*D1037+11</f>
        <v>14516</v>
      </c>
      <c r="F1037" s="13"/>
      <c r="G1037" s="14">
        <v>121.25</v>
      </c>
      <c r="H1037" s="15">
        <f aca="true" t="shared" si="167" ref="H1037:H1068">G1037*D1037</f>
        <v>30312.5</v>
      </c>
      <c r="I1037" s="16">
        <f aca="true" t="shared" si="168" ref="I1037:I1068">H1037-E1037</f>
        <v>15796.5</v>
      </c>
      <c r="J1037" s="19">
        <f aca="true" t="shared" si="169" ref="J1037:J1068">I1037/E1037</f>
        <v>1.0882130063378341</v>
      </c>
      <c r="K1037" s="141" t="s">
        <v>239</v>
      </c>
      <c r="L1037" s="140" t="s">
        <v>51</v>
      </c>
      <c r="M1037" s="41">
        <f aca="true" t="shared" si="170" ref="M1037:M1068">C1037*0.93</f>
        <v>53.958600000000004</v>
      </c>
      <c r="N1037" s="118">
        <v>77.93</v>
      </c>
      <c r="O1037" s="121">
        <v>42090</v>
      </c>
      <c r="P1037" s="116" t="s">
        <v>80</v>
      </c>
      <c r="Q1037" s="117">
        <v>122</v>
      </c>
      <c r="R1037" s="118">
        <f>Q1037*0.855</f>
        <v>104.31</v>
      </c>
      <c r="S1037" s="117">
        <f>1.11*C1037</f>
        <v>64.40220000000001</v>
      </c>
      <c r="T1037" s="116"/>
      <c r="U1037" s="117"/>
      <c r="V1037" s="15"/>
    </row>
    <row r="1038" spans="1:22" s="114" customFormat="1" ht="15">
      <c r="A1038" s="12" t="s">
        <v>80</v>
      </c>
      <c r="B1038" s="65">
        <v>42011.40694444445</v>
      </c>
      <c r="C1038" s="14">
        <v>59.16</v>
      </c>
      <c r="D1038" s="15">
        <v>150</v>
      </c>
      <c r="E1038" s="15">
        <f t="shared" si="166"/>
        <v>8885</v>
      </c>
      <c r="F1038" s="13"/>
      <c r="G1038" s="14">
        <v>121.25</v>
      </c>
      <c r="H1038" s="15">
        <f t="shared" si="167"/>
        <v>18187.5</v>
      </c>
      <c r="I1038" s="16">
        <f t="shared" si="168"/>
        <v>9302.5</v>
      </c>
      <c r="J1038" s="122">
        <f t="shared" si="169"/>
        <v>1.0469893078221721</v>
      </c>
      <c r="K1038" s="95" t="s">
        <v>82</v>
      </c>
      <c r="L1038" s="140" t="s">
        <v>51</v>
      </c>
      <c r="M1038" s="41">
        <f t="shared" si="170"/>
        <v>55.0188</v>
      </c>
      <c r="N1038" s="118">
        <v>77.93</v>
      </c>
      <c r="O1038" s="116"/>
      <c r="P1038" s="116" t="s">
        <v>80</v>
      </c>
      <c r="Q1038" s="117"/>
      <c r="R1038" s="118"/>
      <c r="S1038" s="117"/>
      <c r="T1038" s="116"/>
      <c r="V1038" s="15"/>
    </row>
    <row r="1039" spans="1:22" s="114" customFormat="1" ht="15">
      <c r="A1039" s="12" t="s">
        <v>80</v>
      </c>
      <c r="B1039" s="65">
        <v>42012.29305555556</v>
      </c>
      <c r="C1039" s="14">
        <v>60.3</v>
      </c>
      <c r="D1039" s="15">
        <v>100</v>
      </c>
      <c r="E1039" s="15">
        <f t="shared" si="166"/>
        <v>6041</v>
      </c>
      <c r="F1039" s="13"/>
      <c r="G1039" s="14">
        <v>121.25</v>
      </c>
      <c r="H1039" s="15">
        <f t="shared" si="167"/>
        <v>12125</v>
      </c>
      <c r="I1039" s="16">
        <f t="shared" si="168"/>
        <v>6084</v>
      </c>
      <c r="J1039" s="19">
        <f t="shared" si="169"/>
        <v>1.007118026816752</v>
      </c>
      <c r="K1039" s="95" t="s">
        <v>83</v>
      </c>
      <c r="L1039" s="140" t="s">
        <v>51</v>
      </c>
      <c r="M1039" s="41">
        <f t="shared" si="170"/>
        <v>56.079</v>
      </c>
      <c r="N1039" s="118">
        <v>77.93</v>
      </c>
      <c r="O1039" s="116"/>
      <c r="P1039" s="116" t="s">
        <v>80</v>
      </c>
      <c r="Q1039" s="117"/>
      <c r="R1039" s="118"/>
      <c r="S1039" s="117"/>
      <c r="T1039" s="116"/>
      <c r="V1039" s="15"/>
    </row>
    <row r="1040" spans="1:22" s="114" customFormat="1" ht="15">
      <c r="A1040" s="12" t="s">
        <v>80</v>
      </c>
      <c r="B1040" s="65">
        <v>42047.271527777775</v>
      </c>
      <c r="C1040" s="14">
        <v>64.65</v>
      </c>
      <c r="D1040" s="15">
        <v>100</v>
      </c>
      <c r="E1040" s="15">
        <f t="shared" si="166"/>
        <v>6476.000000000001</v>
      </c>
      <c r="F1040" s="13"/>
      <c r="G1040" s="14">
        <v>121.25</v>
      </c>
      <c r="H1040" s="15">
        <f t="shared" si="167"/>
        <v>12125</v>
      </c>
      <c r="I1040" s="16">
        <f t="shared" si="168"/>
        <v>5648.999999999999</v>
      </c>
      <c r="J1040" s="19">
        <f t="shared" si="169"/>
        <v>0.8722977146386656</v>
      </c>
      <c r="K1040" s="95" t="s">
        <v>132</v>
      </c>
      <c r="L1040" s="140" t="s">
        <v>51</v>
      </c>
      <c r="M1040" s="41">
        <f t="shared" si="170"/>
        <v>60.12450000000001</v>
      </c>
      <c r="N1040" s="118">
        <v>77.93</v>
      </c>
      <c r="O1040" s="116"/>
      <c r="P1040" s="116" t="s">
        <v>80</v>
      </c>
      <c r="Q1040" s="117"/>
      <c r="R1040" s="118"/>
      <c r="S1040" s="117"/>
      <c r="T1040" s="116"/>
      <c r="V1040" s="15"/>
    </row>
    <row r="1041" spans="1:22" s="114" customFormat="1" ht="15">
      <c r="A1041" s="12" t="s">
        <v>80</v>
      </c>
      <c r="B1041" s="65">
        <v>42081.34097222222</v>
      </c>
      <c r="C1041" s="14">
        <v>70</v>
      </c>
      <c r="D1041" s="15">
        <v>120</v>
      </c>
      <c r="E1041" s="15">
        <f t="shared" si="166"/>
        <v>8411</v>
      </c>
      <c r="F1041" s="13"/>
      <c r="G1041" s="14">
        <v>121.25</v>
      </c>
      <c r="H1041" s="15">
        <f t="shared" si="167"/>
        <v>14550</v>
      </c>
      <c r="I1041" s="16">
        <f t="shared" si="168"/>
        <v>6139</v>
      </c>
      <c r="J1041" s="19">
        <f t="shared" si="169"/>
        <v>0.7298775413149448</v>
      </c>
      <c r="K1041" s="95" t="s">
        <v>181</v>
      </c>
      <c r="L1041" s="140" t="s">
        <v>51</v>
      </c>
      <c r="M1041" s="41">
        <f t="shared" si="170"/>
        <v>65.10000000000001</v>
      </c>
      <c r="N1041" s="118">
        <v>77.93</v>
      </c>
      <c r="O1041" s="116"/>
      <c r="P1041" s="116" t="s">
        <v>80</v>
      </c>
      <c r="Q1041" s="117"/>
      <c r="R1041" s="118"/>
      <c r="S1041" s="117"/>
      <c r="T1041" s="116"/>
      <c r="V1041" s="15"/>
    </row>
    <row r="1042" spans="1:22" s="114" customFormat="1" ht="15">
      <c r="A1042" s="12" t="s">
        <v>80</v>
      </c>
      <c r="B1042" s="65">
        <v>42117.55694444444</v>
      </c>
      <c r="C1042" s="14">
        <v>77.75</v>
      </c>
      <c r="D1042" s="15">
        <v>150</v>
      </c>
      <c r="E1042" s="15">
        <f t="shared" si="166"/>
        <v>11673.5</v>
      </c>
      <c r="F1042" s="13"/>
      <c r="G1042" s="14">
        <v>121.25</v>
      </c>
      <c r="H1042" s="15">
        <f t="shared" si="167"/>
        <v>18187.5</v>
      </c>
      <c r="I1042" s="16">
        <f t="shared" si="168"/>
        <v>6514</v>
      </c>
      <c r="J1042" s="19">
        <f t="shared" si="169"/>
        <v>0.5580160191887609</v>
      </c>
      <c r="K1042" s="95" t="s">
        <v>233</v>
      </c>
      <c r="L1042" s="140" t="s">
        <v>51</v>
      </c>
      <c r="M1042" s="41">
        <f t="shared" si="170"/>
        <v>72.3075</v>
      </c>
      <c r="N1042" s="118">
        <v>77.93</v>
      </c>
      <c r="O1042" s="116"/>
      <c r="P1042" s="116" t="s">
        <v>80</v>
      </c>
      <c r="Q1042" s="117"/>
      <c r="R1042" s="118"/>
      <c r="S1042" s="117"/>
      <c r="T1042" s="116"/>
      <c r="V1042" s="15"/>
    </row>
    <row r="1043" spans="1:23" s="114" customFormat="1" ht="15">
      <c r="A1043" s="12" t="s">
        <v>80</v>
      </c>
      <c r="B1043" s="65">
        <v>42128.525</v>
      </c>
      <c r="C1043" s="14">
        <v>93.09</v>
      </c>
      <c r="D1043" s="15">
        <v>180</v>
      </c>
      <c r="E1043" s="15">
        <f t="shared" si="166"/>
        <v>16767.2</v>
      </c>
      <c r="F1043" s="13"/>
      <c r="G1043" s="14">
        <v>121.25</v>
      </c>
      <c r="H1043" s="15">
        <f t="shared" si="167"/>
        <v>21825</v>
      </c>
      <c r="I1043" s="16">
        <f t="shared" si="168"/>
        <v>5057.799999999999</v>
      </c>
      <c r="J1043" s="19">
        <f t="shared" si="169"/>
        <v>0.3016484565103296</v>
      </c>
      <c r="K1043" s="95" t="s">
        <v>244</v>
      </c>
      <c r="L1043" s="140" t="s">
        <v>51</v>
      </c>
      <c r="M1043" s="41">
        <f t="shared" si="170"/>
        <v>86.5737</v>
      </c>
      <c r="N1043" s="118">
        <v>77.93</v>
      </c>
      <c r="O1043" s="116"/>
      <c r="P1043" s="116" t="s">
        <v>80</v>
      </c>
      <c r="Q1043" s="117"/>
      <c r="R1043" s="118"/>
      <c r="S1043" s="117"/>
      <c r="T1043" s="116"/>
      <c r="V1043" s="15"/>
      <c r="W1043" s="29"/>
    </row>
    <row r="1044" spans="1:23" s="114" customFormat="1" ht="15">
      <c r="A1044" s="12" t="s">
        <v>80</v>
      </c>
      <c r="B1044" s="65">
        <v>42186.37847222222</v>
      </c>
      <c r="C1044" s="14">
        <v>111.51</v>
      </c>
      <c r="D1044" s="15">
        <v>210</v>
      </c>
      <c r="E1044" s="15">
        <f t="shared" si="166"/>
        <v>23428.100000000002</v>
      </c>
      <c r="F1044" s="13"/>
      <c r="G1044" s="14">
        <v>121.25</v>
      </c>
      <c r="H1044" s="15">
        <f t="shared" si="167"/>
        <v>25462.5</v>
      </c>
      <c r="I1044" s="16">
        <f t="shared" si="168"/>
        <v>2034.3999999999978</v>
      </c>
      <c r="J1044" s="19">
        <f t="shared" si="169"/>
        <v>0.08683589364907943</v>
      </c>
      <c r="K1044" s="95" t="s">
        <v>277</v>
      </c>
      <c r="L1044" s="140" t="s">
        <v>51</v>
      </c>
      <c r="M1044" s="41">
        <f t="shared" si="170"/>
        <v>103.7043</v>
      </c>
      <c r="N1044" s="118">
        <v>77.93</v>
      </c>
      <c r="O1044" s="116"/>
      <c r="P1044" s="116" t="s">
        <v>80</v>
      </c>
      <c r="Q1044" s="117"/>
      <c r="R1044" s="118"/>
      <c r="S1044" s="117"/>
      <c r="T1044" s="116"/>
      <c r="V1044" s="15"/>
      <c r="W1044" s="29"/>
    </row>
    <row r="1045" spans="1:22" s="114" customFormat="1" ht="15">
      <c r="A1045" s="12" t="s">
        <v>169</v>
      </c>
      <c r="B1045" s="65">
        <v>42076.538194444445</v>
      </c>
      <c r="C1045" s="14">
        <v>56.64</v>
      </c>
      <c r="D1045" s="15">
        <v>320</v>
      </c>
      <c r="E1045" s="15">
        <f t="shared" si="166"/>
        <v>18135.8</v>
      </c>
      <c r="F1045" s="13"/>
      <c r="G1045" s="14">
        <v>66.33</v>
      </c>
      <c r="H1045" s="15">
        <f t="shared" si="167"/>
        <v>21225.6</v>
      </c>
      <c r="I1045" s="16">
        <f t="shared" si="168"/>
        <v>3089.7999999999993</v>
      </c>
      <c r="J1045" s="19">
        <f t="shared" si="169"/>
        <v>0.17037020699390154</v>
      </c>
      <c r="K1045" s="95" t="s">
        <v>170</v>
      </c>
      <c r="L1045" s="119">
        <v>57.48</v>
      </c>
      <c r="M1045" s="41">
        <f t="shared" si="170"/>
        <v>52.675200000000004</v>
      </c>
      <c r="N1045" s="118">
        <v>71.25</v>
      </c>
      <c r="O1045" s="121">
        <v>42132</v>
      </c>
      <c r="P1045" s="116" t="s">
        <v>169</v>
      </c>
      <c r="Q1045" s="117">
        <v>67.23</v>
      </c>
      <c r="R1045" s="118">
        <f>Q1045*0.855</f>
        <v>57.48165</v>
      </c>
      <c r="S1045" s="117">
        <f>1.11*C1045</f>
        <v>62.870400000000004</v>
      </c>
      <c r="T1045" s="116"/>
      <c r="U1045" s="117"/>
      <c r="V1045" s="15"/>
    </row>
    <row r="1046" spans="1:22" s="114" customFormat="1" ht="15">
      <c r="A1046" s="12" t="s">
        <v>169</v>
      </c>
      <c r="B1046" s="65">
        <v>42082.302777777775</v>
      </c>
      <c r="C1046" s="14">
        <v>57.9</v>
      </c>
      <c r="D1046" s="15">
        <v>190</v>
      </c>
      <c r="E1046" s="15">
        <f t="shared" si="166"/>
        <v>11012</v>
      </c>
      <c r="F1046" s="13"/>
      <c r="G1046" s="14">
        <v>66.33</v>
      </c>
      <c r="H1046" s="15">
        <f t="shared" si="167"/>
        <v>12602.699999999999</v>
      </c>
      <c r="I1046" s="16">
        <f t="shared" si="168"/>
        <v>1590.699999999999</v>
      </c>
      <c r="J1046" s="19">
        <f t="shared" si="169"/>
        <v>0.144451507446422</v>
      </c>
      <c r="K1046" s="95" t="s">
        <v>217</v>
      </c>
      <c r="L1046" s="119">
        <v>57.48</v>
      </c>
      <c r="M1046" s="41">
        <f t="shared" si="170"/>
        <v>53.847</v>
      </c>
      <c r="N1046" s="118">
        <v>71.25</v>
      </c>
      <c r="O1046" s="116"/>
      <c r="P1046" s="116" t="s">
        <v>169</v>
      </c>
      <c r="Q1046" s="117"/>
      <c r="R1046" s="118"/>
      <c r="S1046" s="117"/>
      <c r="T1046" s="116"/>
      <c r="V1046" s="15"/>
    </row>
    <row r="1047" spans="1:23" s="114" customFormat="1" ht="15">
      <c r="A1047" s="12" t="s">
        <v>169</v>
      </c>
      <c r="B1047" s="65">
        <v>42103.433333333334</v>
      </c>
      <c r="C1047" s="14">
        <v>59.27</v>
      </c>
      <c r="D1047" s="15">
        <v>125</v>
      </c>
      <c r="E1047" s="15">
        <f t="shared" si="166"/>
        <v>7419.75</v>
      </c>
      <c r="F1047" s="13"/>
      <c r="G1047" s="14">
        <v>66.33</v>
      </c>
      <c r="H1047" s="15">
        <f t="shared" si="167"/>
        <v>8291.25</v>
      </c>
      <c r="I1047" s="16">
        <f t="shared" si="168"/>
        <v>871.5</v>
      </c>
      <c r="J1047" s="19">
        <f t="shared" si="169"/>
        <v>0.11745678762761548</v>
      </c>
      <c r="K1047" s="95" t="s">
        <v>216</v>
      </c>
      <c r="L1047" s="119">
        <v>57.48</v>
      </c>
      <c r="M1047" s="41">
        <f t="shared" si="170"/>
        <v>55.121100000000006</v>
      </c>
      <c r="N1047" s="118">
        <v>71.25</v>
      </c>
      <c r="O1047" s="116"/>
      <c r="P1047" s="116" t="s">
        <v>169</v>
      </c>
      <c r="Q1047" s="117"/>
      <c r="R1047" s="118"/>
      <c r="S1047" s="117"/>
      <c r="T1047" s="116"/>
      <c r="V1047" s="15"/>
      <c r="W1047" s="29"/>
    </row>
    <row r="1048" spans="1:23" s="114" customFormat="1" ht="15">
      <c r="A1048" s="12" t="s">
        <v>169</v>
      </c>
      <c r="B1048" s="65">
        <v>42173.30486111111</v>
      </c>
      <c r="C1048" s="14">
        <v>62.25</v>
      </c>
      <c r="D1048" s="15">
        <v>65</v>
      </c>
      <c r="E1048" s="15">
        <f t="shared" si="166"/>
        <v>4057.25</v>
      </c>
      <c r="F1048" s="13"/>
      <c r="G1048" s="14">
        <v>66.33</v>
      </c>
      <c r="H1048" s="15">
        <f t="shared" si="167"/>
        <v>4311.45</v>
      </c>
      <c r="I1048" s="16">
        <f t="shared" si="168"/>
        <v>254.19999999999982</v>
      </c>
      <c r="J1048" s="19">
        <f t="shared" si="169"/>
        <v>0.0626532750015404</v>
      </c>
      <c r="K1048" s="95" t="s">
        <v>270</v>
      </c>
      <c r="L1048" s="119"/>
      <c r="M1048" s="20">
        <f t="shared" si="170"/>
        <v>57.892500000000005</v>
      </c>
      <c r="N1048" s="118">
        <v>71.25</v>
      </c>
      <c r="O1048" s="116"/>
      <c r="P1048" s="116" t="s">
        <v>169</v>
      </c>
      <c r="Q1048" s="117"/>
      <c r="R1048" s="118"/>
      <c r="S1048" s="117"/>
      <c r="T1048" s="116"/>
      <c r="V1048" s="15"/>
      <c r="W1048" s="29"/>
    </row>
    <row r="1049" spans="1:23" s="114" customFormat="1" ht="15">
      <c r="A1049" s="12" t="s">
        <v>169</v>
      </c>
      <c r="B1049" s="65">
        <v>42185.43472222222</v>
      </c>
      <c r="C1049" s="14">
        <v>65.19</v>
      </c>
      <c r="D1049" s="15">
        <v>140</v>
      </c>
      <c r="E1049" s="15">
        <f t="shared" si="166"/>
        <v>9137.6</v>
      </c>
      <c r="F1049" s="13"/>
      <c r="G1049" s="14">
        <v>66.33</v>
      </c>
      <c r="H1049" s="15">
        <f t="shared" si="167"/>
        <v>9286.199999999999</v>
      </c>
      <c r="I1049" s="16">
        <f t="shared" si="168"/>
        <v>148.59999999999854</v>
      </c>
      <c r="J1049" s="19">
        <f t="shared" si="169"/>
        <v>0.016262475923655942</v>
      </c>
      <c r="K1049" s="95" t="s">
        <v>278</v>
      </c>
      <c r="L1049" s="119"/>
      <c r="M1049" s="20">
        <f t="shared" si="170"/>
        <v>60.6267</v>
      </c>
      <c r="N1049" s="118">
        <v>71.25</v>
      </c>
      <c r="O1049" s="116"/>
      <c r="P1049" s="116" t="s">
        <v>169</v>
      </c>
      <c r="Q1049" s="117"/>
      <c r="R1049" s="118"/>
      <c r="S1049" s="117"/>
      <c r="T1049" s="116"/>
      <c r="V1049" s="15"/>
      <c r="W1049" s="29"/>
    </row>
    <row r="1050" spans="1:22" s="114" customFormat="1" ht="15">
      <c r="A1050" s="12" t="s">
        <v>208</v>
      </c>
      <c r="B1050" s="65">
        <v>42090.308333333334</v>
      </c>
      <c r="C1050" s="14">
        <v>214</v>
      </c>
      <c r="D1050" s="15">
        <v>95</v>
      </c>
      <c r="E1050" s="15">
        <f t="shared" si="166"/>
        <v>20341</v>
      </c>
      <c r="F1050" s="13"/>
      <c r="G1050" s="14">
        <v>238.69</v>
      </c>
      <c r="H1050" s="15">
        <f t="shared" si="167"/>
        <v>22675.55</v>
      </c>
      <c r="I1050" s="16">
        <f t="shared" si="168"/>
        <v>2334.5499999999993</v>
      </c>
      <c r="J1050" s="19">
        <f t="shared" si="169"/>
        <v>0.11477066024285922</v>
      </c>
      <c r="K1050" s="95" t="s">
        <v>212</v>
      </c>
      <c r="L1050" s="119">
        <v>205.64</v>
      </c>
      <c r="M1050" s="41">
        <f t="shared" si="170"/>
        <v>199.02</v>
      </c>
      <c r="N1050" s="118">
        <v>267.7</v>
      </c>
      <c r="O1050" s="121">
        <v>42136</v>
      </c>
      <c r="P1050" s="116" t="s">
        <v>208</v>
      </c>
      <c r="Q1050" s="117">
        <v>240.52</v>
      </c>
      <c r="R1050" s="118">
        <f>Q1050*0.855</f>
        <v>205.6446</v>
      </c>
      <c r="S1050" s="117">
        <f>1.11*C1050</f>
        <v>237.54000000000002</v>
      </c>
      <c r="T1050" s="116"/>
      <c r="U1050" s="117"/>
      <c r="V1050" s="15"/>
    </row>
    <row r="1051" spans="1:22" s="114" customFormat="1" ht="15">
      <c r="A1051" s="12" t="s">
        <v>208</v>
      </c>
      <c r="B1051" s="65">
        <v>42093.29305555556</v>
      </c>
      <c r="C1051" s="14">
        <v>219.41</v>
      </c>
      <c r="D1051" s="15">
        <v>55</v>
      </c>
      <c r="E1051" s="15">
        <f t="shared" si="166"/>
        <v>12078.55</v>
      </c>
      <c r="F1051" s="13"/>
      <c r="G1051" s="14">
        <v>238.69</v>
      </c>
      <c r="H1051" s="15">
        <f t="shared" si="167"/>
        <v>13127.95</v>
      </c>
      <c r="I1051" s="16">
        <f t="shared" si="168"/>
        <v>1049.4000000000015</v>
      </c>
      <c r="J1051" s="19">
        <f t="shared" si="169"/>
        <v>0.08688128955876338</v>
      </c>
      <c r="K1051" s="95" t="s">
        <v>211</v>
      </c>
      <c r="L1051" s="119">
        <v>205.64</v>
      </c>
      <c r="M1051" s="41">
        <f t="shared" si="170"/>
        <v>204.0513</v>
      </c>
      <c r="N1051" s="118">
        <v>267.7</v>
      </c>
      <c r="O1051" s="116"/>
      <c r="P1051" s="116" t="s">
        <v>208</v>
      </c>
      <c r="Q1051" s="117"/>
      <c r="R1051" s="118"/>
      <c r="S1051" s="117"/>
      <c r="T1051" s="116"/>
      <c r="V1051" s="15"/>
    </row>
    <row r="1052" spans="1:23" s="114" customFormat="1" ht="15">
      <c r="A1052" s="12" t="s">
        <v>208</v>
      </c>
      <c r="B1052" s="65">
        <v>42117.27569444444</v>
      </c>
      <c r="C1052" s="14">
        <v>226.35</v>
      </c>
      <c r="D1052" s="15">
        <v>35</v>
      </c>
      <c r="E1052" s="15">
        <f t="shared" si="166"/>
        <v>7933.25</v>
      </c>
      <c r="F1052" s="13"/>
      <c r="G1052" s="14">
        <v>238.69</v>
      </c>
      <c r="H1052" s="15">
        <f t="shared" si="167"/>
        <v>8354.15</v>
      </c>
      <c r="I1052" s="16">
        <f t="shared" si="168"/>
        <v>420.89999999999964</v>
      </c>
      <c r="J1052" s="19">
        <f t="shared" si="169"/>
        <v>0.05305517915104146</v>
      </c>
      <c r="K1052" s="95" t="s">
        <v>236</v>
      </c>
      <c r="L1052" s="119"/>
      <c r="M1052" s="20">
        <f t="shared" si="170"/>
        <v>210.5055</v>
      </c>
      <c r="N1052" s="118">
        <v>267.7</v>
      </c>
      <c r="O1052" s="116"/>
      <c r="P1052" s="116" t="s">
        <v>208</v>
      </c>
      <c r="Q1052" s="117"/>
      <c r="R1052" s="118"/>
      <c r="S1052" s="117"/>
      <c r="T1052" s="116"/>
      <c r="V1052" s="15"/>
      <c r="W1052" s="29"/>
    </row>
    <row r="1053" spans="1:23" s="114" customFormat="1" ht="15">
      <c r="A1053" s="12" t="s">
        <v>66</v>
      </c>
      <c r="B1053" s="65">
        <v>42156.31875</v>
      </c>
      <c r="C1053" s="14">
        <v>41</v>
      </c>
      <c r="D1053" s="15">
        <v>1900</v>
      </c>
      <c r="E1053" s="15">
        <f t="shared" si="166"/>
        <v>77911</v>
      </c>
      <c r="F1053" s="13"/>
      <c r="G1053" s="14">
        <v>49.04</v>
      </c>
      <c r="H1053" s="15">
        <f t="shared" si="167"/>
        <v>93176</v>
      </c>
      <c r="I1053" s="16">
        <f t="shared" si="168"/>
        <v>15265</v>
      </c>
      <c r="J1053" s="19">
        <f t="shared" si="169"/>
        <v>0.19592868786179102</v>
      </c>
      <c r="K1053" s="95" t="s">
        <v>256</v>
      </c>
      <c r="L1053" s="119">
        <v>42.76</v>
      </c>
      <c r="M1053" s="41">
        <f t="shared" si="170"/>
        <v>38.13</v>
      </c>
      <c r="N1053" s="118">
        <v>52.13</v>
      </c>
      <c r="O1053" s="116"/>
      <c r="P1053" s="116" t="s">
        <v>66</v>
      </c>
      <c r="Q1053" s="117">
        <v>49.76</v>
      </c>
      <c r="R1053" s="118">
        <f>Q1053*0.855</f>
        <v>42.544799999999995</v>
      </c>
      <c r="S1053" s="117">
        <f>1.11*C1053</f>
        <v>45.510000000000005</v>
      </c>
      <c r="T1053" s="116"/>
      <c r="V1053" s="15"/>
      <c r="W1053" s="29"/>
    </row>
    <row r="1054" spans="1:23" s="114" customFormat="1" ht="15">
      <c r="A1054" s="12" t="s">
        <v>66</v>
      </c>
      <c r="B1054" s="65">
        <v>42158.308333333334</v>
      </c>
      <c r="C1054" s="14">
        <v>42.1</v>
      </c>
      <c r="D1054" s="15">
        <v>1100</v>
      </c>
      <c r="E1054" s="15">
        <f t="shared" si="166"/>
        <v>46321</v>
      </c>
      <c r="F1054" s="13"/>
      <c r="G1054" s="14">
        <v>49.04</v>
      </c>
      <c r="H1054" s="15">
        <f t="shared" si="167"/>
        <v>53944</v>
      </c>
      <c r="I1054" s="16">
        <f t="shared" si="168"/>
        <v>7623</v>
      </c>
      <c r="J1054" s="19">
        <f t="shared" si="169"/>
        <v>0.16456898598907624</v>
      </c>
      <c r="K1054" s="95" t="s">
        <v>261</v>
      </c>
      <c r="L1054" s="119">
        <v>42.76</v>
      </c>
      <c r="M1054" s="41">
        <f t="shared" si="170"/>
        <v>39.153000000000006</v>
      </c>
      <c r="N1054" s="118">
        <v>52.13</v>
      </c>
      <c r="O1054" s="116"/>
      <c r="P1054" s="116" t="s">
        <v>66</v>
      </c>
      <c r="Q1054" s="117"/>
      <c r="R1054" s="118"/>
      <c r="S1054" s="117"/>
      <c r="T1054" s="116"/>
      <c r="V1054" s="15"/>
      <c r="W1054" s="29"/>
    </row>
    <row r="1055" spans="1:23" s="114" customFormat="1" ht="15">
      <c r="A1055" s="12" t="s">
        <v>66</v>
      </c>
      <c r="B1055" s="65">
        <v>41798.27222222222</v>
      </c>
      <c r="C1055" s="14">
        <v>43.43</v>
      </c>
      <c r="D1055" s="15">
        <v>700</v>
      </c>
      <c r="E1055" s="15">
        <f t="shared" si="166"/>
        <v>30412</v>
      </c>
      <c r="F1055" s="13"/>
      <c r="G1055" s="14">
        <v>49.04</v>
      </c>
      <c r="H1055" s="15">
        <f t="shared" si="167"/>
        <v>34328</v>
      </c>
      <c r="I1055" s="16">
        <f t="shared" si="168"/>
        <v>3916</v>
      </c>
      <c r="J1055" s="19">
        <f t="shared" si="169"/>
        <v>0.1287649611995265</v>
      </c>
      <c r="K1055" s="95" t="s">
        <v>260</v>
      </c>
      <c r="L1055" s="119">
        <v>42.76</v>
      </c>
      <c r="M1055" s="41">
        <f t="shared" si="170"/>
        <v>40.389900000000004</v>
      </c>
      <c r="N1055" s="118">
        <v>52.13</v>
      </c>
      <c r="O1055" s="116"/>
      <c r="P1055" s="116" t="s">
        <v>66</v>
      </c>
      <c r="Q1055" s="117"/>
      <c r="R1055" s="118"/>
      <c r="S1055" s="117"/>
      <c r="T1055" s="116"/>
      <c r="V1055" s="15"/>
      <c r="W1055" s="29"/>
    </row>
    <row r="1056" spans="1:23" s="114" customFormat="1" ht="15">
      <c r="A1056" s="12" t="s">
        <v>66</v>
      </c>
      <c r="B1056" s="65">
        <v>42195.27569444444</v>
      </c>
      <c r="C1056" s="14">
        <v>44.78</v>
      </c>
      <c r="D1056" s="15">
        <v>370</v>
      </c>
      <c r="E1056" s="15">
        <f t="shared" si="166"/>
        <v>16579.600000000002</v>
      </c>
      <c r="F1056" s="13"/>
      <c r="G1056" s="14">
        <v>49.04</v>
      </c>
      <c r="H1056" s="15">
        <f t="shared" si="167"/>
        <v>18144.8</v>
      </c>
      <c r="I1056" s="16">
        <f t="shared" si="168"/>
        <v>1565.199999999997</v>
      </c>
      <c r="J1056" s="19">
        <f t="shared" si="169"/>
        <v>0.09440517262177597</v>
      </c>
      <c r="K1056" s="95" t="s">
        <v>286</v>
      </c>
      <c r="L1056" s="119">
        <v>42.76</v>
      </c>
      <c r="M1056" s="41">
        <f t="shared" si="170"/>
        <v>41.6454</v>
      </c>
      <c r="N1056" s="118">
        <v>52.13</v>
      </c>
      <c r="O1056" s="116"/>
      <c r="P1056" s="116" t="s">
        <v>66</v>
      </c>
      <c r="Q1056" s="117"/>
      <c r="R1056" s="118"/>
      <c r="S1056" s="117"/>
      <c r="T1056" s="116"/>
      <c r="V1056" s="15"/>
      <c r="W1056" s="29"/>
    </row>
    <row r="1057" spans="1:23" s="114" customFormat="1" ht="15">
      <c r="A1057" s="85" t="s">
        <v>66</v>
      </c>
      <c r="B1057" s="65">
        <v>42198.27222222222</v>
      </c>
      <c r="C1057" s="14">
        <v>46.9</v>
      </c>
      <c r="D1057" s="15">
        <v>370</v>
      </c>
      <c r="E1057" s="15">
        <f t="shared" si="166"/>
        <v>17364</v>
      </c>
      <c r="F1057" s="13"/>
      <c r="G1057" s="14">
        <v>49.04</v>
      </c>
      <c r="H1057" s="15">
        <f t="shared" si="167"/>
        <v>18144.8</v>
      </c>
      <c r="I1057" s="16">
        <f t="shared" si="168"/>
        <v>780.7999999999993</v>
      </c>
      <c r="J1057" s="19">
        <f t="shared" si="169"/>
        <v>0.04496659755816628</v>
      </c>
      <c r="K1057" s="95" t="s">
        <v>287</v>
      </c>
      <c r="L1057" s="119"/>
      <c r="M1057" s="20">
        <f t="shared" si="170"/>
        <v>43.617000000000004</v>
      </c>
      <c r="N1057" s="118">
        <v>52.13</v>
      </c>
      <c r="O1057" s="116"/>
      <c r="P1057" s="116" t="s">
        <v>66</v>
      </c>
      <c r="Q1057" s="117"/>
      <c r="R1057" s="118"/>
      <c r="S1057" s="117"/>
      <c r="T1057" s="116"/>
      <c r="V1057" s="15"/>
      <c r="W1057" s="29"/>
    </row>
    <row r="1058" spans="1:23" s="114" customFormat="1" ht="15">
      <c r="A1058" s="12" t="s">
        <v>59</v>
      </c>
      <c r="B1058" s="65">
        <v>42164.36944444444</v>
      </c>
      <c r="C1058" s="14">
        <v>47.25</v>
      </c>
      <c r="D1058" s="15">
        <v>1600</v>
      </c>
      <c r="E1058" s="15">
        <f t="shared" si="166"/>
        <v>75611</v>
      </c>
      <c r="F1058" s="13"/>
      <c r="G1058" s="14">
        <v>61.07</v>
      </c>
      <c r="H1058" s="15">
        <f t="shared" si="167"/>
        <v>97712</v>
      </c>
      <c r="I1058" s="16">
        <f t="shared" si="168"/>
        <v>22101</v>
      </c>
      <c r="J1058" s="19">
        <f t="shared" si="169"/>
        <v>0.29229873960138075</v>
      </c>
      <c r="K1058" s="95" t="s">
        <v>288</v>
      </c>
      <c r="L1058" s="119">
        <v>49.59</v>
      </c>
      <c r="M1058" s="41">
        <f t="shared" si="170"/>
        <v>43.9425</v>
      </c>
      <c r="N1058" s="118">
        <v>60.98</v>
      </c>
      <c r="O1058" s="121">
        <v>42223</v>
      </c>
      <c r="P1058" s="116" t="s">
        <v>59</v>
      </c>
      <c r="Q1058" s="117">
        <v>61.66</v>
      </c>
      <c r="R1058" s="118">
        <f>Q1058*0.855</f>
        <v>52.7193</v>
      </c>
      <c r="S1058" s="117">
        <f>1.11*C1058</f>
        <v>52.447500000000005</v>
      </c>
      <c r="T1058" s="116"/>
      <c r="V1058" s="15"/>
      <c r="W1058" s="29"/>
    </row>
    <row r="1059" spans="1:23" s="114" customFormat="1" ht="15">
      <c r="A1059" s="12" t="s">
        <v>59</v>
      </c>
      <c r="B1059" s="65">
        <v>42164.478472222225</v>
      </c>
      <c r="C1059" s="14">
        <v>48.3</v>
      </c>
      <c r="D1059" s="15">
        <v>1000</v>
      </c>
      <c r="E1059" s="15">
        <f t="shared" si="166"/>
        <v>48311</v>
      </c>
      <c r="F1059" s="13"/>
      <c r="G1059" s="14">
        <v>61.07</v>
      </c>
      <c r="H1059" s="15">
        <f t="shared" si="167"/>
        <v>61070</v>
      </c>
      <c r="I1059" s="16">
        <f t="shared" si="168"/>
        <v>12759</v>
      </c>
      <c r="J1059" s="19">
        <f t="shared" si="169"/>
        <v>0.2641013433793546</v>
      </c>
      <c r="K1059" s="95" t="s">
        <v>265</v>
      </c>
      <c r="L1059" s="119">
        <v>49.59</v>
      </c>
      <c r="M1059" s="41">
        <f t="shared" si="170"/>
        <v>44.919</v>
      </c>
      <c r="N1059" s="118">
        <v>60.98</v>
      </c>
      <c r="O1059" s="116"/>
      <c r="P1059" s="116" t="s">
        <v>59</v>
      </c>
      <c r="Q1059" s="117"/>
      <c r="R1059" s="118"/>
      <c r="S1059" s="117"/>
      <c r="T1059" s="116"/>
      <c r="V1059" s="15"/>
      <c r="W1059" s="29"/>
    </row>
    <row r="1060" spans="1:23" s="114" customFormat="1" ht="15">
      <c r="A1060" s="12" t="s">
        <v>59</v>
      </c>
      <c r="B1060" s="65">
        <v>42166.291666666664</v>
      </c>
      <c r="C1060" s="14">
        <v>49.14</v>
      </c>
      <c r="D1060" s="15">
        <v>600</v>
      </c>
      <c r="E1060" s="15">
        <f t="shared" si="166"/>
        <v>29495</v>
      </c>
      <c r="F1060" s="13"/>
      <c r="G1060" s="14">
        <v>61.07</v>
      </c>
      <c r="H1060" s="15">
        <f t="shared" si="167"/>
        <v>36642</v>
      </c>
      <c r="I1060" s="16">
        <f t="shared" si="168"/>
        <v>7147</v>
      </c>
      <c r="J1060" s="19">
        <f t="shared" si="169"/>
        <v>0.2423122563146296</v>
      </c>
      <c r="K1060" s="95" t="s">
        <v>264</v>
      </c>
      <c r="L1060" s="119">
        <v>49.59</v>
      </c>
      <c r="M1060" s="41">
        <f t="shared" si="170"/>
        <v>45.7002</v>
      </c>
      <c r="N1060" s="118">
        <v>60.98</v>
      </c>
      <c r="O1060" s="116"/>
      <c r="P1060" s="116" t="s">
        <v>59</v>
      </c>
      <c r="Q1060" s="117"/>
      <c r="R1060" s="118"/>
      <c r="S1060" s="117"/>
      <c r="T1060" s="116"/>
      <c r="V1060" s="15"/>
      <c r="W1060" s="29"/>
    </row>
    <row r="1061" spans="1:23" s="114" customFormat="1" ht="15">
      <c r="A1061" s="12" t="s">
        <v>59</v>
      </c>
      <c r="B1061" s="65">
        <v>42191.27777777778</v>
      </c>
      <c r="C1061" s="14">
        <v>55.44</v>
      </c>
      <c r="D1061" s="15">
        <v>640</v>
      </c>
      <c r="E1061" s="15">
        <f t="shared" si="166"/>
        <v>35492.6</v>
      </c>
      <c r="F1061" s="13"/>
      <c r="G1061" s="14">
        <v>61.07</v>
      </c>
      <c r="H1061" s="15">
        <f t="shared" si="167"/>
        <v>39084.8</v>
      </c>
      <c r="I1061" s="16">
        <f t="shared" si="168"/>
        <v>3592.2000000000044</v>
      </c>
      <c r="J1061" s="19">
        <f t="shared" si="169"/>
        <v>0.10120982965463236</v>
      </c>
      <c r="K1061" s="95" t="s">
        <v>281</v>
      </c>
      <c r="L1061" s="119">
        <v>49.59</v>
      </c>
      <c r="M1061" s="20">
        <f t="shared" si="170"/>
        <v>51.559200000000004</v>
      </c>
      <c r="N1061" s="118">
        <v>60.98</v>
      </c>
      <c r="O1061" s="116"/>
      <c r="P1061" s="116" t="s">
        <v>59</v>
      </c>
      <c r="Q1061" s="117"/>
      <c r="R1061" s="118"/>
      <c r="S1061" s="117"/>
      <c r="T1061" s="116"/>
      <c r="V1061" s="15"/>
      <c r="W1061" s="29"/>
    </row>
    <row r="1062" spans="1:23" s="114" customFormat="1" ht="15">
      <c r="A1062" s="12" t="s">
        <v>48</v>
      </c>
      <c r="B1062" s="65">
        <v>42174.53472222222</v>
      </c>
      <c r="C1062" s="14">
        <v>82.6</v>
      </c>
      <c r="D1062" s="15">
        <v>950</v>
      </c>
      <c r="E1062" s="15">
        <f t="shared" si="166"/>
        <v>78481</v>
      </c>
      <c r="F1062" s="13"/>
      <c r="G1062" s="14">
        <v>94.97</v>
      </c>
      <c r="H1062" s="15">
        <f t="shared" si="167"/>
        <v>90221.5</v>
      </c>
      <c r="I1062" s="16">
        <f t="shared" si="168"/>
        <v>11740.5</v>
      </c>
      <c r="J1062" s="19">
        <f t="shared" si="169"/>
        <v>0.14959671767688995</v>
      </c>
      <c r="K1062" s="95" t="s">
        <v>272</v>
      </c>
      <c r="L1062" s="119">
        <v>81.56</v>
      </c>
      <c r="M1062" s="41">
        <f t="shared" si="170"/>
        <v>76.818</v>
      </c>
      <c r="N1062" s="117">
        <v>103.69</v>
      </c>
      <c r="O1062" s="121">
        <v>42230</v>
      </c>
      <c r="P1062" s="116" t="s">
        <v>48</v>
      </c>
      <c r="Q1062" s="117">
        <v>95.39</v>
      </c>
      <c r="R1062" s="118">
        <f>Q1062*0.855</f>
        <v>81.55845</v>
      </c>
      <c r="S1062" s="117">
        <f>1.11*C1062</f>
        <v>91.686</v>
      </c>
      <c r="T1062" s="116"/>
      <c r="V1062" s="15"/>
      <c r="W1062" s="29"/>
    </row>
    <row r="1063" spans="1:23" s="114" customFormat="1" ht="15">
      <c r="A1063" s="12" t="s">
        <v>48</v>
      </c>
      <c r="B1063" s="65">
        <v>42177.37013888889</v>
      </c>
      <c r="C1063" s="14">
        <v>84.55</v>
      </c>
      <c r="D1063" s="15">
        <v>550</v>
      </c>
      <c r="E1063" s="15">
        <f t="shared" si="166"/>
        <v>46513.5</v>
      </c>
      <c r="F1063" s="13"/>
      <c r="G1063" s="14">
        <v>94.97</v>
      </c>
      <c r="H1063" s="15">
        <f t="shared" si="167"/>
        <v>52233.5</v>
      </c>
      <c r="I1063" s="16">
        <f t="shared" si="168"/>
        <v>5720</v>
      </c>
      <c r="J1063" s="19">
        <f t="shared" si="169"/>
        <v>0.12297505025422727</v>
      </c>
      <c r="K1063" s="95" t="s">
        <v>274</v>
      </c>
      <c r="L1063" s="119">
        <v>81.56</v>
      </c>
      <c r="M1063" s="41">
        <f t="shared" si="170"/>
        <v>78.6315</v>
      </c>
      <c r="N1063" s="117">
        <v>103.69</v>
      </c>
      <c r="O1063" s="116"/>
      <c r="P1063" s="116" t="s">
        <v>48</v>
      </c>
      <c r="Q1063" s="117"/>
      <c r="R1063" s="118"/>
      <c r="S1063" s="117"/>
      <c r="T1063" s="116"/>
      <c r="V1063" s="15"/>
      <c r="W1063" s="29"/>
    </row>
    <row r="1064" spans="1:23" s="114" customFormat="1" ht="15">
      <c r="A1064" s="12" t="s">
        <v>48</v>
      </c>
      <c r="B1064" s="65">
        <v>42178.302777777775</v>
      </c>
      <c r="C1064" s="14">
        <v>86.26</v>
      </c>
      <c r="D1064" s="15">
        <v>350</v>
      </c>
      <c r="E1064" s="15">
        <f t="shared" si="166"/>
        <v>30202</v>
      </c>
      <c r="F1064" s="13"/>
      <c r="G1064" s="14">
        <v>94.97</v>
      </c>
      <c r="H1064" s="15">
        <f t="shared" si="167"/>
        <v>33239.5</v>
      </c>
      <c r="I1064" s="16">
        <f t="shared" si="168"/>
        <v>3037.5</v>
      </c>
      <c r="J1064" s="19">
        <f t="shared" si="169"/>
        <v>0.10057280974769883</v>
      </c>
      <c r="K1064" s="95" t="s">
        <v>275</v>
      </c>
      <c r="L1064" s="119">
        <v>81.56</v>
      </c>
      <c r="M1064" s="41">
        <f t="shared" si="170"/>
        <v>80.22180000000002</v>
      </c>
      <c r="N1064" s="117">
        <v>103.69</v>
      </c>
      <c r="O1064" s="116"/>
      <c r="P1064" s="116" t="s">
        <v>48</v>
      </c>
      <c r="Q1064" s="117"/>
      <c r="R1064" s="118"/>
      <c r="S1064" s="117"/>
      <c r="T1064" s="116"/>
      <c r="V1064" s="15"/>
      <c r="W1064" s="29"/>
    </row>
    <row r="1065" spans="1:20" s="114" customFormat="1" ht="15">
      <c r="A1065" s="85" t="s">
        <v>48</v>
      </c>
      <c r="B1065" s="13">
        <v>42202.27291666667</v>
      </c>
      <c r="C1065" s="14">
        <v>93.22</v>
      </c>
      <c r="D1065" s="15">
        <v>370</v>
      </c>
      <c r="E1065" s="15">
        <f t="shared" si="166"/>
        <v>34502.4</v>
      </c>
      <c r="F1065" s="13"/>
      <c r="G1065" s="14">
        <v>94.97</v>
      </c>
      <c r="H1065" s="15">
        <f t="shared" si="167"/>
        <v>35138.9</v>
      </c>
      <c r="I1065" s="16">
        <f t="shared" si="168"/>
        <v>636.5</v>
      </c>
      <c r="J1065" s="19">
        <f t="shared" si="169"/>
        <v>0.018447992023743275</v>
      </c>
      <c r="K1065" s="95" t="s">
        <v>289</v>
      </c>
      <c r="L1065" s="119"/>
      <c r="M1065" s="20">
        <f t="shared" si="170"/>
        <v>86.69460000000001</v>
      </c>
      <c r="N1065" s="117">
        <v>103.69</v>
      </c>
      <c r="P1065" s="116" t="s">
        <v>48</v>
      </c>
      <c r="Q1065" s="117"/>
      <c r="R1065" s="117"/>
      <c r="S1065" s="117"/>
      <c r="T1065" s="116"/>
    </row>
    <row r="1066" spans="1:20" s="114" customFormat="1" ht="15">
      <c r="A1066" s="85" t="s">
        <v>68</v>
      </c>
      <c r="B1066" s="13">
        <v>42201.29722222222</v>
      </c>
      <c r="C1066" s="14">
        <v>68.35</v>
      </c>
      <c r="D1066" s="15">
        <v>600</v>
      </c>
      <c r="E1066" s="15">
        <f t="shared" si="166"/>
        <v>41021</v>
      </c>
      <c r="F1066" s="13"/>
      <c r="G1066" s="14">
        <v>72.33</v>
      </c>
      <c r="H1066" s="15">
        <f t="shared" si="167"/>
        <v>43398</v>
      </c>
      <c r="I1066" s="16">
        <f t="shared" si="168"/>
        <v>2377</v>
      </c>
      <c r="J1066" s="19">
        <f t="shared" si="169"/>
        <v>0.057945930133346334</v>
      </c>
      <c r="K1066" s="95" t="s">
        <v>295</v>
      </c>
      <c r="L1066" s="119"/>
      <c r="M1066" s="20">
        <f t="shared" si="170"/>
        <v>63.5655</v>
      </c>
      <c r="N1066" s="117">
        <v>86.66</v>
      </c>
      <c r="O1066" s="121">
        <v>42256</v>
      </c>
      <c r="P1066" s="116" t="s">
        <v>68</v>
      </c>
      <c r="Q1066" s="117"/>
      <c r="R1066" s="117"/>
      <c r="S1066" s="117">
        <f>1.11*C1066</f>
        <v>75.8685</v>
      </c>
      <c r="T1066" s="116"/>
    </row>
    <row r="1067" spans="1:20" s="114" customFormat="1" ht="15">
      <c r="A1067" s="85" t="s">
        <v>68</v>
      </c>
      <c r="B1067" s="13">
        <v>42202.285416666666</v>
      </c>
      <c r="C1067" s="14">
        <v>69.54</v>
      </c>
      <c r="D1067" s="15">
        <v>350</v>
      </c>
      <c r="E1067" s="15">
        <f t="shared" si="166"/>
        <v>24350.000000000004</v>
      </c>
      <c r="F1067" s="13"/>
      <c r="G1067" s="14">
        <v>72.33</v>
      </c>
      <c r="H1067" s="15">
        <f t="shared" si="167"/>
        <v>25315.5</v>
      </c>
      <c r="I1067" s="16">
        <f t="shared" si="168"/>
        <v>965.4999999999964</v>
      </c>
      <c r="J1067" s="19">
        <f t="shared" si="169"/>
        <v>0.0396509240246405</v>
      </c>
      <c r="K1067" s="95" t="s">
        <v>296</v>
      </c>
      <c r="L1067" s="119"/>
      <c r="M1067" s="20">
        <f t="shared" si="170"/>
        <v>64.6722</v>
      </c>
      <c r="N1067" s="117">
        <v>86.66</v>
      </c>
      <c r="P1067" s="116" t="s">
        <v>68</v>
      </c>
      <c r="Q1067" s="117"/>
      <c r="R1067" s="117"/>
      <c r="S1067" s="117"/>
      <c r="T1067" s="116"/>
    </row>
    <row r="1068" spans="1:20" s="114" customFormat="1" ht="15">
      <c r="A1068" s="85" t="s">
        <v>68</v>
      </c>
      <c r="B1068" s="13">
        <v>42202.46527777778</v>
      </c>
      <c r="C1068" s="14">
        <v>71.51</v>
      </c>
      <c r="D1068" s="15">
        <v>230</v>
      </c>
      <c r="E1068" s="15">
        <f t="shared" si="166"/>
        <v>16458.300000000003</v>
      </c>
      <c r="F1068" s="13"/>
      <c r="G1068" s="14">
        <v>72.33</v>
      </c>
      <c r="H1068" s="15">
        <f t="shared" si="167"/>
        <v>16635.899999999998</v>
      </c>
      <c r="I1068" s="16">
        <f t="shared" si="168"/>
        <v>177.5999999999949</v>
      </c>
      <c r="J1068" s="19">
        <f t="shared" si="169"/>
        <v>0.01079090793095246</v>
      </c>
      <c r="K1068" s="95" t="s">
        <v>297</v>
      </c>
      <c r="L1068" s="119"/>
      <c r="M1068" s="20">
        <f t="shared" si="170"/>
        <v>66.50430000000001</v>
      </c>
      <c r="N1068" s="117">
        <v>86.66</v>
      </c>
      <c r="P1068" s="116" t="s">
        <v>68</v>
      </c>
      <c r="Q1068" s="117"/>
      <c r="R1068" s="117"/>
      <c r="S1068" s="117"/>
      <c r="T1068" s="116"/>
    </row>
    <row r="1069" spans="1:20" s="114" customFormat="1" ht="15">
      <c r="A1069" s="12"/>
      <c r="B1069" s="13"/>
      <c r="C1069" s="14"/>
      <c r="D1069" s="15"/>
      <c r="E1069" s="15"/>
      <c r="F1069" s="13"/>
      <c r="G1069" s="14"/>
      <c r="H1069" s="15"/>
      <c r="I1069" s="16"/>
      <c r="J1069" s="19"/>
      <c r="K1069" s="95"/>
      <c r="L1069" s="119"/>
      <c r="M1069" s="32"/>
      <c r="N1069" s="117"/>
      <c r="P1069" s="116"/>
      <c r="Q1069" s="117"/>
      <c r="R1069" s="117"/>
      <c r="S1069" s="117"/>
      <c r="T1069" s="116"/>
    </row>
    <row r="1070" spans="1:20" s="114" customFormat="1" ht="15">
      <c r="A1070" s="21" t="s">
        <v>14</v>
      </c>
      <c r="B1070" s="22"/>
      <c r="C1070" s="23"/>
      <c r="D1070" s="24"/>
      <c r="E1070" s="24">
        <f>SUM(E1037:E1069)</f>
        <v>835338.4</v>
      </c>
      <c r="F1070" s="22"/>
      <c r="G1070" s="23"/>
      <c r="H1070" s="24">
        <f>SUM(H1037:H1069)</f>
        <v>1001079.05</v>
      </c>
      <c r="I1070" s="25">
        <f>SUM(I1037:I1069)</f>
        <v>165740.65</v>
      </c>
      <c r="J1070" s="26">
        <f>I1070/E1070</f>
        <v>0.19841138633157532</v>
      </c>
      <c r="K1070" s="27" t="s">
        <v>15</v>
      </c>
      <c r="L1070" s="28">
        <f>100000+I1072</f>
        <v>433011.05999999994</v>
      </c>
      <c r="M1070" s="81"/>
      <c r="N1070" s="89"/>
      <c r="Q1070" s="117"/>
      <c r="R1070" s="117"/>
      <c r="S1070" s="117"/>
      <c r="T1070" s="116"/>
    </row>
    <row r="1071" spans="1:20" s="114" customFormat="1" ht="15">
      <c r="A1071" s="12" t="s">
        <v>67</v>
      </c>
      <c r="B1071" s="22"/>
      <c r="C1071" s="25">
        <f>I1072-I1032</f>
        <v>50122.04999999999</v>
      </c>
      <c r="D1071" s="26">
        <f>C1071/H1030</f>
        <v>0.05690468758168998</v>
      </c>
      <c r="E1071" s="24"/>
      <c r="F1071" s="22" t="s">
        <v>16</v>
      </c>
      <c r="G1071" s="117"/>
      <c r="H1071" s="29" t="str">
        <f>IF(ABS(H1070-E1070-I1070)&lt;1,"","ERROR")</f>
        <v/>
      </c>
      <c r="I1071" s="16">
        <v>167270.40999999997</v>
      </c>
      <c r="J1071" s="26"/>
      <c r="K1071" s="111" t="s">
        <v>17</v>
      </c>
      <c r="L1071" s="28">
        <f>(2*(100000+I1072))-E1070</f>
        <v>30683.719999999856</v>
      </c>
      <c r="M1071" s="31"/>
      <c r="Q1071" s="117"/>
      <c r="R1071" s="117"/>
      <c r="S1071" s="117"/>
      <c r="T1071" s="116"/>
    </row>
    <row r="1072" spans="1:20" s="114" customFormat="1" ht="15">
      <c r="A1072" s="12" t="s">
        <v>54</v>
      </c>
      <c r="B1072" s="22"/>
      <c r="C1072" s="25">
        <f>L1070-L1030</f>
        <v>50122.04999999999</v>
      </c>
      <c r="D1072" s="26">
        <f>C1072/L1030</f>
        <v>0.13090490635915614</v>
      </c>
      <c r="E1072" s="24"/>
      <c r="F1072" s="22" t="s">
        <v>18</v>
      </c>
      <c r="G1072" s="117"/>
      <c r="H1072" s="29"/>
      <c r="I1072" s="30">
        <f>I1070+I1071</f>
        <v>333011.05999999994</v>
      </c>
      <c r="J1072" s="26">
        <f>I1072/100000</f>
        <v>3.3301105999999994</v>
      </c>
      <c r="K1072" s="111" t="s">
        <v>19</v>
      </c>
      <c r="L1072" s="26">
        <f>E1070/(2*(100000+I1072))</f>
        <v>0.9645693576510496</v>
      </c>
      <c r="M1072" s="31"/>
      <c r="Q1072" s="117"/>
      <c r="R1072" s="117"/>
      <c r="S1072" s="117"/>
      <c r="T1072" s="116"/>
    </row>
    <row r="1073" spans="1:20" s="114" customFormat="1" ht="15">
      <c r="A1073" s="114">
        <v>7</v>
      </c>
      <c r="B1073" s="22"/>
      <c r="C1073" s="25"/>
      <c r="D1073" s="26"/>
      <c r="E1073" s="24"/>
      <c r="F1073" s="22"/>
      <c r="G1073" s="117"/>
      <c r="H1073" s="29"/>
      <c r="I1073" s="30"/>
      <c r="J1073" s="26"/>
      <c r="K1073" s="111"/>
      <c r="L1073" s="26"/>
      <c r="M1073" s="31"/>
      <c r="Q1073" s="117"/>
      <c r="R1073" s="117"/>
      <c r="S1073" s="117"/>
      <c r="T1073" s="116"/>
    </row>
    <row r="1074" spans="2:20" s="114" customFormat="1" ht="15">
      <c r="B1074" s="22"/>
      <c r="C1074" s="25"/>
      <c r="D1074" s="26"/>
      <c r="E1074" s="24"/>
      <c r="F1074" s="22"/>
      <c r="G1074" s="117"/>
      <c r="H1074" s="29"/>
      <c r="I1074" s="30"/>
      <c r="J1074" s="26"/>
      <c r="K1074" s="111"/>
      <c r="L1074" s="26"/>
      <c r="M1074" s="31"/>
      <c r="Q1074" s="117"/>
      <c r="R1074" s="117"/>
      <c r="S1074" s="117"/>
      <c r="T1074" s="116"/>
    </row>
    <row r="1075" spans="1:20" s="114" customFormat="1" ht="30.75" customHeight="1">
      <c r="A1075" s="108" t="s">
        <v>56</v>
      </c>
      <c r="B1075" s="384" t="s">
        <v>298</v>
      </c>
      <c r="C1075" s="384"/>
      <c r="D1075" s="384"/>
      <c r="E1075" s="384"/>
      <c r="F1075" s="384"/>
      <c r="G1075" s="384"/>
      <c r="H1075" s="384"/>
      <c r="I1075" s="384"/>
      <c r="J1075" s="384"/>
      <c r="K1075" s="384"/>
      <c r="L1075" s="384"/>
      <c r="M1075" s="384"/>
      <c r="N1075" s="384"/>
      <c r="O1075" s="92"/>
      <c r="P1075" s="92"/>
      <c r="Q1075" s="104"/>
      <c r="R1075" s="104"/>
      <c r="S1075" s="107"/>
      <c r="T1075" s="109"/>
    </row>
    <row r="1076" spans="1:22" s="114" customFormat="1" ht="15">
      <c r="A1076" s="2" t="s">
        <v>0</v>
      </c>
      <c r="B1076" s="3" t="s">
        <v>1</v>
      </c>
      <c r="C1076" s="4" t="s">
        <v>2</v>
      </c>
      <c r="D1076" s="5" t="s">
        <v>3</v>
      </c>
      <c r="E1076" s="6" t="s">
        <v>4</v>
      </c>
      <c r="F1076" s="3" t="s">
        <v>5</v>
      </c>
      <c r="G1076" s="7" t="s">
        <v>2</v>
      </c>
      <c r="H1076" s="6" t="s">
        <v>6</v>
      </c>
      <c r="I1076" s="6" t="s">
        <v>7</v>
      </c>
      <c r="J1076" s="8" t="s">
        <v>8</v>
      </c>
      <c r="K1076" s="9" t="s">
        <v>9</v>
      </c>
      <c r="L1076" s="10" t="s">
        <v>10</v>
      </c>
      <c r="M1076" s="11" t="s">
        <v>11</v>
      </c>
      <c r="N1076" s="103" t="s">
        <v>53</v>
      </c>
      <c r="O1076" s="105" t="s">
        <v>110</v>
      </c>
      <c r="P1076" s="106" t="s">
        <v>0</v>
      </c>
      <c r="Q1076" s="117" t="s">
        <v>13</v>
      </c>
      <c r="R1076" s="117" t="s">
        <v>70</v>
      </c>
      <c r="S1076" s="111" t="s">
        <v>103</v>
      </c>
      <c r="T1076" s="116" t="s">
        <v>107</v>
      </c>
      <c r="V1076" s="9"/>
    </row>
    <row r="1077" spans="1:22" s="114" customFormat="1" ht="15">
      <c r="A1077" s="12" t="s">
        <v>80</v>
      </c>
      <c r="B1077" s="65">
        <v>42011.30486111111</v>
      </c>
      <c r="C1077" s="14">
        <v>58.02</v>
      </c>
      <c r="D1077" s="15">
        <v>250</v>
      </c>
      <c r="E1077" s="15">
        <f aca="true" t="shared" si="171" ref="E1077:E1109">C1077*D1077+11</f>
        <v>14516</v>
      </c>
      <c r="F1077" s="13"/>
      <c r="G1077" s="14">
        <v>123.01</v>
      </c>
      <c r="H1077" s="15">
        <f aca="true" t="shared" si="172" ref="H1077:H1109">G1077*D1077</f>
        <v>30752.5</v>
      </c>
      <c r="I1077" s="16">
        <f aca="true" t="shared" si="173" ref="I1077:I1109">H1077-E1077</f>
        <v>16236.5</v>
      </c>
      <c r="J1077" s="19">
        <f aca="true" t="shared" si="174" ref="J1077:J1109">I1077/E1077</f>
        <v>1.118524386883439</v>
      </c>
      <c r="K1077" s="141" t="s">
        <v>239</v>
      </c>
      <c r="L1077" s="140" t="s">
        <v>51</v>
      </c>
      <c r="M1077" s="41">
        <f aca="true" t="shared" si="175" ref="M1077:M1109">C1077*0.93</f>
        <v>53.958600000000004</v>
      </c>
      <c r="N1077" s="118">
        <v>77.93</v>
      </c>
      <c r="O1077" s="121">
        <v>42090</v>
      </c>
      <c r="P1077" s="116" t="s">
        <v>80</v>
      </c>
      <c r="Q1077" s="117">
        <v>127.53</v>
      </c>
      <c r="R1077" s="118">
        <f>Q1077*0.855</f>
        <v>109.03815</v>
      </c>
      <c r="S1077" s="117">
        <f>1.11*C1077</f>
        <v>64.40220000000001</v>
      </c>
      <c r="T1077" s="116"/>
      <c r="U1077" s="117"/>
      <c r="V1077" s="15"/>
    </row>
    <row r="1078" spans="1:22" s="114" customFormat="1" ht="15">
      <c r="A1078" s="12" t="s">
        <v>80</v>
      </c>
      <c r="B1078" s="65">
        <v>42011.40694444445</v>
      </c>
      <c r="C1078" s="14">
        <v>59.16</v>
      </c>
      <c r="D1078" s="15">
        <v>150</v>
      </c>
      <c r="E1078" s="15">
        <f t="shared" si="171"/>
        <v>8885</v>
      </c>
      <c r="F1078" s="13"/>
      <c r="G1078" s="14">
        <v>123.01</v>
      </c>
      <c r="H1078" s="15">
        <f t="shared" si="172"/>
        <v>18451.5</v>
      </c>
      <c r="I1078" s="16">
        <f t="shared" si="173"/>
        <v>9566.5</v>
      </c>
      <c r="J1078" s="122">
        <f t="shared" si="174"/>
        <v>1.076702307259426</v>
      </c>
      <c r="K1078" s="95" t="s">
        <v>82</v>
      </c>
      <c r="L1078" s="140" t="s">
        <v>51</v>
      </c>
      <c r="M1078" s="41">
        <f t="shared" si="175"/>
        <v>55.0188</v>
      </c>
      <c r="N1078" s="118">
        <v>77.93</v>
      </c>
      <c r="O1078" s="116"/>
      <c r="P1078" s="116" t="s">
        <v>80</v>
      </c>
      <c r="Q1078" s="117"/>
      <c r="R1078" s="118"/>
      <c r="S1078" s="117"/>
      <c r="T1078" s="116"/>
      <c r="V1078" s="15"/>
    </row>
    <row r="1079" spans="1:22" s="114" customFormat="1" ht="15">
      <c r="A1079" s="12" t="s">
        <v>80</v>
      </c>
      <c r="B1079" s="65">
        <v>42012.29305555556</v>
      </c>
      <c r="C1079" s="14">
        <v>60.3</v>
      </c>
      <c r="D1079" s="15">
        <v>100</v>
      </c>
      <c r="E1079" s="15">
        <f t="shared" si="171"/>
        <v>6041</v>
      </c>
      <c r="F1079" s="13"/>
      <c r="G1079" s="14">
        <v>123.01</v>
      </c>
      <c r="H1079" s="15">
        <f t="shared" si="172"/>
        <v>12301</v>
      </c>
      <c r="I1079" s="16">
        <f t="shared" si="173"/>
        <v>6260</v>
      </c>
      <c r="J1079" s="19">
        <f t="shared" si="174"/>
        <v>1.0362522761132262</v>
      </c>
      <c r="K1079" s="95" t="s">
        <v>83</v>
      </c>
      <c r="L1079" s="140" t="s">
        <v>51</v>
      </c>
      <c r="M1079" s="41">
        <f t="shared" si="175"/>
        <v>56.079</v>
      </c>
      <c r="N1079" s="118">
        <v>77.93</v>
      </c>
      <c r="O1079" s="116"/>
      <c r="P1079" s="116" t="s">
        <v>80</v>
      </c>
      <c r="Q1079" s="117"/>
      <c r="R1079" s="118"/>
      <c r="S1079" s="117"/>
      <c r="T1079" s="116"/>
      <c r="V1079" s="15"/>
    </row>
    <row r="1080" spans="1:22" s="114" customFormat="1" ht="15">
      <c r="A1080" s="12" t="s">
        <v>80</v>
      </c>
      <c r="B1080" s="65">
        <v>42047.271527777775</v>
      </c>
      <c r="C1080" s="14">
        <v>64.65</v>
      </c>
      <c r="D1080" s="15">
        <v>100</v>
      </c>
      <c r="E1080" s="15">
        <f t="shared" si="171"/>
        <v>6476.000000000001</v>
      </c>
      <c r="F1080" s="13"/>
      <c r="G1080" s="14">
        <v>123.01</v>
      </c>
      <c r="H1080" s="15">
        <f t="shared" si="172"/>
        <v>12301</v>
      </c>
      <c r="I1080" s="16">
        <f t="shared" si="173"/>
        <v>5824.999999999999</v>
      </c>
      <c r="J1080" s="19">
        <f t="shared" si="174"/>
        <v>0.899474984558369</v>
      </c>
      <c r="K1080" s="95" t="s">
        <v>132</v>
      </c>
      <c r="L1080" s="140" t="s">
        <v>51</v>
      </c>
      <c r="M1080" s="41">
        <f t="shared" si="175"/>
        <v>60.12450000000001</v>
      </c>
      <c r="N1080" s="118">
        <v>77.93</v>
      </c>
      <c r="O1080" s="116"/>
      <c r="P1080" s="116" t="s">
        <v>80</v>
      </c>
      <c r="Q1080" s="117"/>
      <c r="R1080" s="118"/>
      <c r="S1080" s="117"/>
      <c r="T1080" s="116"/>
      <c r="V1080" s="15"/>
    </row>
    <row r="1081" spans="1:22" s="114" customFormat="1" ht="15">
      <c r="A1081" s="12" t="s">
        <v>80</v>
      </c>
      <c r="B1081" s="65">
        <v>42081.34097222222</v>
      </c>
      <c r="C1081" s="14">
        <v>70</v>
      </c>
      <c r="D1081" s="15">
        <v>120</v>
      </c>
      <c r="E1081" s="15">
        <f t="shared" si="171"/>
        <v>8411</v>
      </c>
      <c r="F1081" s="13"/>
      <c r="G1081" s="14">
        <v>123.01</v>
      </c>
      <c r="H1081" s="15">
        <f t="shared" si="172"/>
        <v>14761.2</v>
      </c>
      <c r="I1081" s="16">
        <f t="shared" si="173"/>
        <v>6350.200000000001</v>
      </c>
      <c r="J1081" s="19">
        <f t="shared" si="174"/>
        <v>0.75498751634764</v>
      </c>
      <c r="K1081" s="95" t="s">
        <v>181</v>
      </c>
      <c r="L1081" s="140" t="s">
        <v>51</v>
      </c>
      <c r="M1081" s="41">
        <f t="shared" si="175"/>
        <v>65.10000000000001</v>
      </c>
      <c r="N1081" s="118">
        <v>77.93</v>
      </c>
      <c r="O1081" s="116"/>
      <c r="P1081" s="116" t="s">
        <v>80</v>
      </c>
      <c r="Q1081" s="117"/>
      <c r="R1081" s="118"/>
      <c r="S1081" s="117"/>
      <c r="T1081" s="116"/>
      <c r="V1081" s="15"/>
    </row>
    <row r="1082" spans="1:22" s="114" customFormat="1" ht="15">
      <c r="A1082" s="12" t="s">
        <v>80</v>
      </c>
      <c r="B1082" s="65">
        <v>42117.55694444444</v>
      </c>
      <c r="C1082" s="14">
        <v>77.75</v>
      </c>
      <c r="D1082" s="15">
        <v>150</v>
      </c>
      <c r="E1082" s="15">
        <f t="shared" si="171"/>
        <v>11673.5</v>
      </c>
      <c r="F1082" s="13"/>
      <c r="G1082" s="14">
        <v>123.01</v>
      </c>
      <c r="H1082" s="15">
        <f t="shared" si="172"/>
        <v>18451.5</v>
      </c>
      <c r="I1082" s="16">
        <f t="shared" si="173"/>
        <v>6778</v>
      </c>
      <c r="J1082" s="19">
        <f t="shared" si="174"/>
        <v>0.5806313444982225</v>
      </c>
      <c r="K1082" s="95" t="s">
        <v>233</v>
      </c>
      <c r="L1082" s="140" t="s">
        <v>51</v>
      </c>
      <c r="M1082" s="41">
        <f t="shared" si="175"/>
        <v>72.3075</v>
      </c>
      <c r="N1082" s="118">
        <v>77.93</v>
      </c>
      <c r="O1082" s="116"/>
      <c r="P1082" s="116" t="s">
        <v>80</v>
      </c>
      <c r="Q1082" s="117"/>
      <c r="R1082" s="118"/>
      <c r="S1082" s="117"/>
      <c r="T1082" s="116"/>
      <c r="V1082" s="15"/>
    </row>
    <row r="1083" spans="1:23" s="114" customFormat="1" ht="15">
      <c r="A1083" s="12" t="s">
        <v>80</v>
      </c>
      <c r="B1083" s="65">
        <v>42128.525</v>
      </c>
      <c r="C1083" s="14">
        <v>93.09</v>
      </c>
      <c r="D1083" s="15">
        <v>180</v>
      </c>
      <c r="E1083" s="15">
        <f t="shared" si="171"/>
        <v>16767.2</v>
      </c>
      <c r="F1083" s="13"/>
      <c r="G1083" s="14">
        <v>123.01</v>
      </c>
      <c r="H1083" s="15">
        <f t="shared" si="172"/>
        <v>22141.8</v>
      </c>
      <c r="I1083" s="16">
        <f t="shared" si="173"/>
        <v>5374.5999999999985</v>
      </c>
      <c r="J1083" s="19">
        <f t="shared" si="174"/>
        <v>0.32054248771410837</v>
      </c>
      <c r="K1083" s="95" t="s">
        <v>244</v>
      </c>
      <c r="L1083" s="140" t="s">
        <v>51</v>
      </c>
      <c r="M1083" s="41">
        <f t="shared" si="175"/>
        <v>86.5737</v>
      </c>
      <c r="N1083" s="118">
        <v>77.93</v>
      </c>
      <c r="O1083" s="116"/>
      <c r="P1083" s="116" t="s">
        <v>80</v>
      </c>
      <c r="Q1083" s="117"/>
      <c r="R1083" s="118"/>
      <c r="S1083" s="117"/>
      <c r="T1083" s="116"/>
      <c r="V1083" s="15"/>
      <c r="W1083" s="29"/>
    </row>
    <row r="1084" spans="1:23" s="114" customFormat="1" ht="15">
      <c r="A1084" s="12" t="s">
        <v>80</v>
      </c>
      <c r="B1084" s="65">
        <v>42186.37847222222</v>
      </c>
      <c r="C1084" s="14">
        <v>111.51</v>
      </c>
      <c r="D1084" s="15">
        <v>210</v>
      </c>
      <c r="E1084" s="15">
        <f t="shared" si="171"/>
        <v>23428.100000000002</v>
      </c>
      <c r="F1084" s="13"/>
      <c r="G1084" s="14">
        <v>123.01</v>
      </c>
      <c r="H1084" s="15">
        <f t="shared" si="172"/>
        <v>25832.100000000002</v>
      </c>
      <c r="I1084" s="16">
        <f t="shared" si="173"/>
        <v>2404</v>
      </c>
      <c r="J1084" s="19">
        <f t="shared" si="174"/>
        <v>0.10261182084761461</v>
      </c>
      <c r="K1084" s="95" t="s">
        <v>277</v>
      </c>
      <c r="L1084" s="140" t="s">
        <v>51</v>
      </c>
      <c r="M1084" s="41">
        <f t="shared" si="175"/>
        <v>103.7043</v>
      </c>
      <c r="N1084" s="118">
        <v>77.93</v>
      </c>
      <c r="O1084" s="116"/>
      <c r="P1084" s="116" t="s">
        <v>80</v>
      </c>
      <c r="Q1084" s="117"/>
      <c r="R1084" s="118"/>
      <c r="S1084" s="117"/>
      <c r="T1084" s="116"/>
      <c r="V1084" s="15"/>
      <c r="W1084" s="29"/>
    </row>
    <row r="1085" spans="1:23" s="114" customFormat="1" ht="15">
      <c r="A1085" s="85" t="s">
        <v>80</v>
      </c>
      <c r="B1085" s="65">
        <v>42207.52222222222</v>
      </c>
      <c r="C1085" s="14">
        <v>125.19</v>
      </c>
      <c r="D1085" s="15">
        <v>250</v>
      </c>
      <c r="E1085" s="15">
        <f t="shared" si="171"/>
        <v>31308.5</v>
      </c>
      <c r="F1085" s="13"/>
      <c r="G1085" s="14">
        <v>123.01</v>
      </c>
      <c r="H1085" s="15">
        <f t="shared" si="172"/>
        <v>30752.5</v>
      </c>
      <c r="I1085" s="16">
        <f t="shared" si="173"/>
        <v>-556</v>
      </c>
      <c r="J1085" s="19">
        <f t="shared" si="174"/>
        <v>-0.01775875560949902</v>
      </c>
      <c r="K1085" s="95" t="s">
        <v>299</v>
      </c>
      <c r="L1085" s="97"/>
      <c r="M1085" s="20">
        <f t="shared" si="175"/>
        <v>116.42670000000001</v>
      </c>
      <c r="N1085" s="118">
        <v>77.93</v>
      </c>
      <c r="O1085" s="116"/>
      <c r="P1085" s="116" t="s">
        <v>80</v>
      </c>
      <c r="Q1085" s="117"/>
      <c r="R1085" s="118"/>
      <c r="S1085" s="117"/>
      <c r="T1085" s="116"/>
      <c r="V1085" s="15"/>
      <c r="W1085" s="29"/>
    </row>
    <row r="1086" spans="1:22" s="114" customFormat="1" ht="15">
      <c r="A1086" s="12" t="s">
        <v>169</v>
      </c>
      <c r="B1086" s="65">
        <v>42076.538194444445</v>
      </c>
      <c r="C1086" s="14">
        <v>56.64</v>
      </c>
      <c r="D1086" s="15">
        <v>320</v>
      </c>
      <c r="E1086" s="15">
        <f t="shared" si="171"/>
        <v>18135.8</v>
      </c>
      <c r="F1086" s="13"/>
      <c r="G1086" s="14">
        <v>67.05</v>
      </c>
      <c r="H1086" s="15">
        <f t="shared" si="172"/>
        <v>21456</v>
      </c>
      <c r="I1086" s="16">
        <f t="shared" si="173"/>
        <v>3320.2000000000007</v>
      </c>
      <c r="J1086" s="19">
        <f t="shared" si="174"/>
        <v>0.18307436120821804</v>
      </c>
      <c r="K1086" s="95" t="s">
        <v>170</v>
      </c>
      <c r="L1086" s="119">
        <v>58.29</v>
      </c>
      <c r="M1086" s="41">
        <f t="shared" si="175"/>
        <v>52.675200000000004</v>
      </c>
      <c r="N1086" s="118">
        <v>71.25</v>
      </c>
      <c r="O1086" s="121">
        <v>42132</v>
      </c>
      <c r="P1086" s="116" t="s">
        <v>169</v>
      </c>
      <c r="Q1086" s="117">
        <v>68.18</v>
      </c>
      <c r="R1086" s="118">
        <f>Q1086*0.855</f>
        <v>58.29390000000001</v>
      </c>
      <c r="S1086" s="117">
        <f>1.11*C1086</f>
        <v>62.870400000000004</v>
      </c>
      <c r="T1086" s="116"/>
      <c r="U1086" s="117"/>
      <c r="V1086" s="15"/>
    </row>
    <row r="1087" spans="1:22" s="114" customFormat="1" ht="15">
      <c r="A1087" s="12" t="s">
        <v>169</v>
      </c>
      <c r="B1087" s="65">
        <v>42082.302777777775</v>
      </c>
      <c r="C1087" s="14">
        <v>57.9</v>
      </c>
      <c r="D1087" s="15">
        <v>190</v>
      </c>
      <c r="E1087" s="15">
        <f t="shared" si="171"/>
        <v>11012</v>
      </c>
      <c r="F1087" s="13"/>
      <c r="G1087" s="14">
        <v>67.05</v>
      </c>
      <c r="H1087" s="15">
        <f t="shared" si="172"/>
        <v>12739.5</v>
      </c>
      <c r="I1087" s="16">
        <f t="shared" si="173"/>
        <v>1727.5</v>
      </c>
      <c r="J1087" s="19">
        <f t="shared" si="174"/>
        <v>0.1568743189248093</v>
      </c>
      <c r="K1087" s="95" t="s">
        <v>217</v>
      </c>
      <c r="L1087" s="119">
        <v>58.29</v>
      </c>
      <c r="M1087" s="41">
        <f t="shared" si="175"/>
        <v>53.847</v>
      </c>
      <c r="N1087" s="118">
        <v>71.25</v>
      </c>
      <c r="O1087" s="116"/>
      <c r="P1087" s="116" t="s">
        <v>169</v>
      </c>
      <c r="Q1087" s="117"/>
      <c r="R1087" s="118"/>
      <c r="S1087" s="117"/>
      <c r="T1087" s="116"/>
      <c r="V1087" s="15"/>
    </row>
    <row r="1088" spans="1:23" s="114" customFormat="1" ht="15">
      <c r="A1088" s="12" t="s">
        <v>169</v>
      </c>
      <c r="B1088" s="65">
        <v>42103.433333333334</v>
      </c>
      <c r="C1088" s="14">
        <v>59.27</v>
      </c>
      <c r="D1088" s="15">
        <v>125</v>
      </c>
      <c r="E1088" s="15">
        <f t="shared" si="171"/>
        <v>7419.75</v>
      </c>
      <c r="F1088" s="13"/>
      <c r="G1088" s="14">
        <v>67.05</v>
      </c>
      <c r="H1088" s="15">
        <f t="shared" si="172"/>
        <v>8381.25</v>
      </c>
      <c r="I1088" s="16">
        <f t="shared" si="173"/>
        <v>961.5</v>
      </c>
      <c r="J1088" s="19">
        <f t="shared" si="174"/>
        <v>0.12958657636712828</v>
      </c>
      <c r="K1088" s="95" t="s">
        <v>216</v>
      </c>
      <c r="L1088" s="119">
        <v>58.29</v>
      </c>
      <c r="M1088" s="41">
        <f t="shared" si="175"/>
        <v>55.121100000000006</v>
      </c>
      <c r="N1088" s="118">
        <v>71.25</v>
      </c>
      <c r="O1088" s="116"/>
      <c r="P1088" s="116" t="s">
        <v>169</v>
      </c>
      <c r="Q1088" s="117"/>
      <c r="R1088" s="118"/>
      <c r="S1088" s="117"/>
      <c r="T1088" s="116"/>
      <c r="V1088" s="15"/>
      <c r="W1088" s="29"/>
    </row>
    <row r="1089" spans="1:23" s="114" customFormat="1" ht="15">
      <c r="A1089" s="12" t="s">
        <v>169</v>
      </c>
      <c r="B1089" s="65">
        <v>42173.30486111111</v>
      </c>
      <c r="C1089" s="14">
        <v>62.25</v>
      </c>
      <c r="D1089" s="15">
        <v>65</v>
      </c>
      <c r="E1089" s="15">
        <f t="shared" si="171"/>
        <v>4057.25</v>
      </c>
      <c r="F1089" s="13"/>
      <c r="G1089" s="14">
        <v>67.05</v>
      </c>
      <c r="H1089" s="15">
        <f t="shared" si="172"/>
        <v>4358.25</v>
      </c>
      <c r="I1089" s="16">
        <f t="shared" si="173"/>
        <v>301</v>
      </c>
      <c r="J1089" s="19">
        <f t="shared" si="174"/>
        <v>0.07418818165013248</v>
      </c>
      <c r="K1089" s="95" t="s">
        <v>270</v>
      </c>
      <c r="L1089" s="119">
        <v>58.29</v>
      </c>
      <c r="M1089" s="41">
        <f t="shared" si="175"/>
        <v>57.892500000000005</v>
      </c>
      <c r="N1089" s="118">
        <v>71.25</v>
      </c>
      <c r="O1089" s="116"/>
      <c r="P1089" s="116" t="s">
        <v>169</v>
      </c>
      <c r="Q1089" s="117"/>
      <c r="R1089" s="118"/>
      <c r="S1089" s="117"/>
      <c r="T1089" s="116"/>
      <c r="V1089" s="15"/>
      <c r="W1089" s="29"/>
    </row>
    <row r="1090" spans="1:23" s="114" customFormat="1" ht="15">
      <c r="A1090" s="12" t="s">
        <v>169</v>
      </c>
      <c r="B1090" s="65">
        <v>42185.43472222222</v>
      </c>
      <c r="C1090" s="14">
        <v>65.19</v>
      </c>
      <c r="D1090" s="15">
        <v>140</v>
      </c>
      <c r="E1090" s="15">
        <f t="shared" si="171"/>
        <v>9137.6</v>
      </c>
      <c r="F1090" s="13"/>
      <c r="G1090" s="14">
        <v>67.05</v>
      </c>
      <c r="H1090" s="15">
        <f t="shared" si="172"/>
        <v>9387</v>
      </c>
      <c r="I1090" s="16">
        <f t="shared" si="173"/>
        <v>249.39999999999964</v>
      </c>
      <c r="J1090" s="19">
        <f t="shared" si="174"/>
        <v>0.027293818945893847</v>
      </c>
      <c r="K1090" s="95" t="s">
        <v>278</v>
      </c>
      <c r="L1090" s="119"/>
      <c r="M1090" s="20">
        <f t="shared" si="175"/>
        <v>60.6267</v>
      </c>
      <c r="N1090" s="118">
        <v>71.25</v>
      </c>
      <c r="O1090" s="116"/>
      <c r="P1090" s="116" t="s">
        <v>169</v>
      </c>
      <c r="Q1090" s="117"/>
      <c r="R1090" s="118"/>
      <c r="S1090" s="117"/>
      <c r="T1090" s="116"/>
      <c r="V1090" s="15"/>
      <c r="W1090" s="29"/>
    </row>
    <row r="1091" spans="1:22" s="114" customFormat="1" ht="15">
      <c r="A1091" s="12" t="s">
        <v>208</v>
      </c>
      <c r="B1091" s="65">
        <v>42090.308333333334</v>
      </c>
      <c r="C1091" s="14">
        <v>214</v>
      </c>
      <c r="D1091" s="15">
        <v>95</v>
      </c>
      <c r="E1091" s="15">
        <f t="shared" si="171"/>
        <v>20341</v>
      </c>
      <c r="F1091" s="13"/>
      <c r="G1091" s="14">
        <v>241.85</v>
      </c>
      <c r="H1091" s="15">
        <f t="shared" si="172"/>
        <v>22975.75</v>
      </c>
      <c r="I1091" s="16">
        <f t="shared" si="173"/>
        <v>2634.75</v>
      </c>
      <c r="J1091" s="19">
        <f t="shared" si="174"/>
        <v>0.12952903003785457</v>
      </c>
      <c r="K1091" s="95" t="s">
        <v>212</v>
      </c>
      <c r="L1091" s="119">
        <v>208.89</v>
      </c>
      <c r="M1091" s="41">
        <f t="shared" si="175"/>
        <v>199.02</v>
      </c>
      <c r="N1091" s="118">
        <v>267.7</v>
      </c>
      <c r="O1091" s="121">
        <v>42136</v>
      </c>
      <c r="P1091" s="116" t="s">
        <v>208</v>
      </c>
      <c r="Q1091" s="117">
        <v>244.31</v>
      </c>
      <c r="R1091" s="118">
        <f>Q1091*0.855</f>
        <v>208.88505</v>
      </c>
      <c r="S1091" s="117">
        <f>1.11*C1091</f>
        <v>237.54000000000002</v>
      </c>
      <c r="T1091" s="116"/>
      <c r="U1091" s="117"/>
      <c r="V1091" s="15"/>
    </row>
    <row r="1092" spans="1:22" s="114" customFormat="1" ht="15">
      <c r="A1092" s="12" t="s">
        <v>208</v>
      </c>
      <c r="B1092" s="65">
        <v>42093.29305555556</v>
      </c>
      <c r="C1092" s="14">
        <v>219.41</v>
      </c>
      <c r="D1092" s="15">
        <v>55</v>
      </c>
      <c r="E1092" s="15">
        <f t="shared" si="171"/>
        <v>12078.55</v>
      </c>
      <c r="F1092" s="13"/>
      <c r="G1092" s="14">
        <v>241.85</v>
      </c>
      <c r="H1092" s="15">
        <f t="shared" si="172"/>
        <v>13301.75</v>
      </c>
      <c r="I1092" s="16">
        <f t="shared" si="173"/>
        <v>1223.2000000000007</v>
      </c>
      <c r="J1092" s="19">
        <f t="shared" si="174"/>
        <v>0.1012704339510952</v>
      </c>
      <c r="K1092" s="95" t="s">
        <v>211</v>
      </c>
      <c r="L1092" s="119">
        <v>208.89</v>
      </c>
      <c r="M1092" s="41">
        <f t="shared" si="175"/>
        <v>204.0513</v>
      </c>
      <c r="N1092" s="118">
        <v>267.7</v>
      </c>
      <c r="O1092" s="116"/>
      <c r="P1092" s="116" t="s">
        <v>208</v>
      </c>
      <c r="Q1092" s="117"/>
      <c r="R1092" s="118"/>
      <c r="S1092" s="117"/>
      <c r="T1092" s="116"/>
      <c r="V1092" s="15"/>
    </row>
    <row r="1093" spans="1:23" s="114" customFormat="1" ht="15">
      <c r="A1093" s="12" t="s">
        <v>208</v>
      </c>
      <c r="B1093" s="65">
        <v>42117.27569444444</v>
      </c>
      <c r="C1093" s="14">
        <v>226.35</v>
      </c>
      <c r="D1093" s="15">
        <v>35</v>
      </c>
      <c r="E1093" s="15">
        <f t="shared" si="171"/>
        <v>7933.25</v>
      </c>
      <c r="F1093" s="13"/>
      <c r="G1093" s="14">
        <v>241.85</v>
      </c>
      <c r="H1093" s="15">
        <f t="shared" si="172"/>
        <v>8464.75</v>
      </c>
      <c r="I1093" s="16">
        <f t="shared" si="173"/>
        <v>531.5</v>
      </c>
      <c r="J1093" s="19">
        <f t="shared" si="174"/>
        <v>0.06699650206409731</v>
      </c>
      <c r="K1093" s="95" t="s">
        <v>236</v>
      </c>
      <c r="L1093" s="119"/>
      <c r="M1093" s="20">
        <f t="shared" si="175"/>
        <v>210.5055</v>
      </c>
      <c r="N1093" s="118">
        <v>267.7</v>
      </c>
      <c r="O1093" s="116"/>
      <c r="P1093" s="116" t="s">
        <v>208</v>
      </c>
      <c r="Q1093" s="117"/>
      <c r="R1093" s="118"/>
      <c r="S1093" s="117"/>
      <c r="T1093" s="116"/>
      <c r="V1093" s="15"/>
      <c r="W1093" s="29"/>
    </row>
    <row r="1094" spans="1:23" s="114" customFormat="1" ht="15">
      <c r="A1094" s="12" t="s">
        <v>66</v>
      </c>
      <c r="B1094" s="65">
        <v>42156.31875</v>
      </c>
      <c r="C1094" s="14">
        <v>41</v>
      </c>
      <c r="D1094" s="15">
        <v>1900</v>
      </c>
      <c r="E1094" s="15">
        <f t="shared" si="171"/>
        <v>77911</v>
      </c>
      <c r="F1094" s="13"/>
      <c r="G1094" s="14">
        <v>48.91</v>
      </c>
      <c r="H1094" s="15">
        <f t="shared" si="172"/>
        <v>92929</v>
      </c>
      <c r="I1094" s="16">
        <f t="shared" si="173"/>
        <v>15018</v>
      </c>
      <c r="J1094" s="19">
        <f t="shared" si="174"/>
        <v>0.19275840381974305</v>
      </c>
      <c r="K1094" s="95" t="s">
        <v>256</v>
      </c>
      <c r="L1094" s="119">
        <v>42.84</v>
      </c>
      <c r="M1094" s="41">
        <f t="shared" si="175"/>
        <v>38.13</v>
      </c>
      <c r="N1094" s="118">
        <v>52.13</v>
      </c>
      <c r="O1094" s="121">
        <v>42215</v>
      </c>
      <c r="P1094" s="116" t="s">
        <v>66</v>
      </c>
      <c r="Q1094" s="117">
        <v>50.11</v>
      </c>
      <c r="R1094" s="118">
        <f>Q1094*0.855</f>
        <v>42.844049999999996</v>
      </c>
      <c r="S1094" s="117">
        <f>1.11*C1094</f>
        <v>45.510000000000005</v>
      </c>
      <c r="T1094" s="116"/>
      <c r="V1094" s="15"/>
      <c r="W1094" s="29"/>
    </row>
    <row r="1095" spans="1:23" s="114" customFormat="1" ht="15">
      <c r="A1095" s="12" t="s">
        <v>66</v>
      </c>
      <c r="B1095" s="65">
        <v>42158.308333333334</v>
      </c>
      <c r="C1095" s="14">
        <v>42.1</v>
      </c>
      <c r="D1095" s="15">
        <v>1100</v>
      </c>
      <c r="E1095" s="15">
        <f t="shared" si="171"/>
        <v>46321</v>
      </c>
      <c r="F1095" s="13"/>
      <c r="G1095" s="14">
        <v>48.91</v>
      </c>
      <c r="H1095" s="15">
        <f t="shared" si="172"/>
        <v>53800.99999999999</v>
      </c>
      <c r="I1095" s="16">
        <f t="shared" si="173"/>
        <v>7479.999999999993</v>
      </c>
      <c r="J1095" s="19">
        <f t="shared" si="174"/>
        <v>0.1614818332937543</v>
      </c>
      <c r="K1095" s="95" t="s">
        <v>261</v>
      </c>
      <c r="L1095" s="119">
        <v>42.84</v>
      </c>
      <c r="M1095" s="41">
        <f t="shared" si="175"/>
        <v>39.153000000000006</v>
      </c>
      <c r="N1095" s="118">
        <v>52.13</v>
      </c>
      <c r="O1095" s="116"/>
      <c r="P1095" s="116" t="s">
        <v>66</v>
      </c>
      <c r="Q1095" s="117"/>
      <c r="R1095" s="118"/>
      <c r="S1095" s="117"/>
      <c r="T1095" s="116"/>
      <c r="V1095" s="15"/>
      <c r="W1095" s="29"/>
    </row>
    <row r="1096" spans="1:23" s="114" customFormat="1" ht="15">
      <c r="A1096" s="12" t="s">
        <v>66</v>
      </c>
      <c r="B1096" s="65">
        <v>41798.27222222222</v>
      </c>
      <c r="C1096" s="14">
        <v>43.43</v>
      </c>
      <c r="D1096" s="15">
        <v>700</v>
      </c>
      <c r="E1096" s="15">
        <f t="shared" si="171"/>
        <v>30412</v>
      </c>
      <c r="F1096" s="13"/>
      <c r="G1096" s="14">
        <v>48.91</v>
      </c>
      <c r="H1096" s="15">
        <f t="shared" si="172"/>
        <v>34237</v>
      </c>
      <c r="I1096" s="16">
        <f t="shared" si="173"/>
        <v>3825</v>
      </c>
      <c r="J1096" s="19">
        <f t="shared" si="174"/>
        <v>0.12577272129422595</v>
      </c>
      <c r="K1096" s="95" t="s">
        <v>260</v>
      </c>
      <c r="L1096" s="119">
        <v>42.84</v>
      </c>
      <c r="M1096" s="41">
        <f t="shared" si="175"/>
        <v>40.389900000000004</v>
      </c>
      <c r="N1096" s="118">
        <v>52.13</v>
      </c>
      <c r="O1096" s="116"/>
      <c r="P1096" s="116" t="s">
        <v>66</v>
      </c>
      <c r="Q1096" s="117"/>
      <c r="R1096" s="118"/>
      <c r="S1096" s="117"/>
      <c r="T1096" s="116"/>
      <c r="V1096" s="15"/>
      <c r="W1096" s="29"/>
    </row>
    <row r="1097" spans="1:23" s="114" customFormat="1" ht="15">
      <c r="A1097" s="12" t="s">
        <v>66</v>
      </c>
      <c r="B1097" s="65">
        <v>42195.27569444444</v>
      </c>
      <c r="C1097" s="14">
        <v>44.78</v>
      </c>
      <c r="D1097" s="15">
        <v>370</v>
      </c>
      <c r="E1097" s="15">
        <f t="shared" si="171"/>
        <v>16579.600000000002</v>
      </c>
      <c r="F1097" s="13"/>
      <c r="G1097" s="14">
        <v>48.91</v>
      </c>
      <c r="H1097" s="15">
        <f t="shared" si="172"/>
        <v>18096.699999999997</v>
      </c>
      <c r="I1097" s="16">
        <f t="shared" si="173"/>
        <v>1517.099999999995</v>
      </c>
      <c r="J1097" s="19">
        <f t="shared" si="174"/>
        <v>0.0915040169847279</v>
      </c>
      <c r="K1097" s="95" t="s">
        <v>286</v>
      </c>
      <c r="L1097" s="119">
        <v>42.84</v>
      </c>
      <c r="M1097" s="41">
        <f t="shared" si="175"/>
        <v>41.6454</v>
      </c>
      <c r="N1097" s="118">
        <v>52.13</v>
      </c>
      <c r="O1097" s="116"/>
      <c r="P1097" s="116" t="s">
        <v>66</v>
      </c>
      <c r="Q1097" s="117"/>
      <c r="R1097" s="118"/>
      <c r="S1097" s="117"/>
      <c r="T1097" s="116"/>
      <c r="V1097" s="15"/>
      <c r="W1097" s="29"/>
    </row>
    <row r="1098" spans="1:23" s="114" customFormat="1" ht="15">
      <c r="A1098" s="12" t="s">
        <v>66</v>
      </c>
      <c r="B1098" s="65">
        <v>42198.27222222222</v>
      </c>
      <c r="C1098" s="14">
        <v>46.9</v>
      </c>
      <c r="D1098" s="15">
        <v>370</v>
      </c>
      <c r="E1098" s="15">
        <f t="shared" si="171"/>
        <v>17364</v>
      </c>
      <c r="F1098" s="13"/>
      <c r="G1098" s="14">
        <v>48.91</v>
      </c>
      <c r="H1098" s="15">
        <f t="shared" si="172"/>
        <v>18096.699999999997</v>
      </c>
      <c r="I1098" s="16">
        <f t="shared" si="173"/>
        <v>732.6999999999971</v>
      </c>
      <c r="J1098" s="19">
        <f t="shared" si="174"/>
        <v>0.04219649850264899</v>
      </c>
      <c r="K1098" s="95" t="s">
        <v>287</v>
      </c>
      <c r="L1098" s="119"/>
      <c r="M1098" s="20">
        <f t="shared" si="175"/>
        <v>43.617000000000004</v>
      </c>
      <c r="N1098" s="118">
        <v>52.13</v>
      </c>
      <c r="O1098" s="116"/>
      <c r="P1098" s="116" t="s">
        <v>66</v>
      </c>
      <c r="Q1098" s="117"/>
      <c r="R1098" s="118"/>
      <c r="S1098" s="117"/>
      <c r="T1098" s="116"/>
      <c r="V1098" s="15"/>
      <c r="W1098" s="29"/>
    </row>
    <row r="1099" spans="1:23" s="114" customFormat="1" ht="15">
      <c r="A1099" s="12" t="s">
        <v>59</v>
      </c>
      <c r="B1099" s="65">
        <v>42164.36944444444</v>
      </c>
      <c r="C1099" s="14">
        <v>47.25</v>
      </c>
      <c r="D1099" s="15">
        <v>1600</v>
      </c>
      <c r="E1099" s="15">
        <f t="shared" si="171"/>
        <v>75611</v>
      </c>
      <c r="F1099" s="13"/>
      <c r="G1099" s="14">
        <v>60.39</v>
      </c>
      <c r="H1099" s="15">
        <f t="shared" si="172"/>
        <v>96624</v>
      </c>
      <c r="I1099" s="16">
        <f t="shared" si="173"/>
        <v>21013</v>
      </c>
      <c r="J1099" s="19">
        <f t="shared" si="174"/>
        <v>0.27790929891153404</v>
      </c>
      <c r="K1099" s="95" t="s">
        <v>288</v>
      </c>
      <c r="L1099" s="119">
        <v>54.01</v>
      </c>
      <c r="M1099" s="41">
        <f t="shared" si="175"/>
        <v>43.9425</v>
      </c>
      <c r="N1099" s="118">
        <v>60.98</v>
      </c>
      <c r="O1099" s="121">
        <v>42223</v>
      </c>
      <c r="P1099" s="116" t="s">
        <v>59</v>
      </c>
      <c r="Q1099" s="117">
        <v>63.17</v>
      </c>
      <c r="R1099" s="118">
        <f>Q1099*0.855</f>
        <v>54.01035</v>
      </c>
      <c r="S1099" s="117">
        <f>1.11*C1099</f>
        <v>52.447500000000005</v>
      </c>
      <c r="T1099" s="116"/>
      <c r="V1099" s="15"/>
      <c r="W1099" s="29"/>
    </row>
    <row r="1100" spans="1:23" s="114" customFormat="1" ht="15">
      <c r="A1100" s="12" t="s">
        <v>59</v>
      </c>
      <c r="B1100" s="65">
        <v>42164.478472222225</v>
      </c>
      <c r="C1100" s="14">
        <v>48.3</v>
      </c>
      <c r="D1100" s="15">
        <v>1000</v>
      </c>
      <c r="E1100" s="15">
        <f t="shared" si="171"/>
        <v>48311</v>
      </c>
      <c r="F1100" s="13"/>
      <c r="G1100" s="14">
        <v>60.39</v>
      </c>
      <c r="H1100" s="15">
        <f t="shared" si="172"/>
        <v>60390</v>
      </c>
      <c r="I1100" s="16">
        <f t="shared" si="173"/>
        <v>12079</v>
      </c>
      <c r="J1100" s="19">
        <f t="shared" si="174"/>
        <v>0.2500258740245493</v>
      </c>
      <c r="K1100" s="95" t="s">
        <v>265</v>
      </c>
      <c r="L1100" s="119">
        <v>54.01</v>
      </c>
      <c r="M1100" s="41">
        <f t="shared" si="175"/>
        <v>44.919</v>
      </c>
      <c r="N1100" s="118">
        <v>60.98</v>
      </c>
      <c r="O1100" s="116"/>
      <c r="P1100" s="116" t="s">
        <v>59</v>
      </c>
      <c r="Q1100" s="117"/>
      <c r="R1100" s="118"/>
      <c r="S1100" s="117"/>
      <c r="T1100" s="116"/>
      <c r="V1100" s="15"/>
      <c r="W1100" s="29"/>
    </row>
    <row r="1101" spans="1:23" s="114" customFormat="1" ht="15">
      <c r="A1101" s="12" t="s">
        <v>59</v>
      </c>
      <c r="B1101" s="65">
        <v>42166.291666666664</v>
      </c>
      <c r="C1101" s="14">
        <v>49.14</v>
      </c>
      <c r="D1101" s="15">
        <v>600</v>
      </c>
      <c r="E1101" s="15">
        <f t="shared" si="171"/>
        <v>29495</v>
      </c>
      <c r="F1101" s="13"/>
      <c r="G1101" s="14">
        <v>60.39</v>
      </c>
      <c r="H1101" s="15">
        <f t="shared" si="172"/>
        <v>36234</v>
      </c>
      <c r="I1101" s="16">
        <f t="shared" si="173"/>
        <v>6739</v>
      </c>
      <c r="J1101" s="19">
        <f t="shared" si="174"/>
        <v>0.228479403288693</v>
      </c>
      <c r="K1101" s="95" t="s">
        <v>264</v>
      </c>
      <c r="L1101" s="119">
        <v>54.01</v>
      </c>
      <c r="M1101" s="41">
        <f t="shared" si="175"/>
        <v>45.7002</v>
      </c>
      <c r="N1101" s="118">
        <v>60.98</v>
      </c>
      <c r="O1101" s="116"/>
      <c r="P1101" s="116" t="s">
        <v>59</v>
      </c>
      <c r="Q1101" s="117"/>
      <c r="R1101" s="118"/>
      <c r="S1101" s="117"/>
      <c r="T1101" s="116"/>
      <c r="V1101" s="15"/>
      <c r="W1101" s="29"/>
    </row>
    <row r="1102" spans="1:23" s="114" customFormat="1" ht="15">
      <c r="A1102" s="12" t="s">
        <v>59</v>
      </c>
      <c r="B1102" s="65">
        <v>42191.27777777778</v>
      </c>
      <c r="C1102" s="14">
        <v>55.44</v>
      </c>
      <c r="D1102" s="15">
        <v>640</v>
      </c>
      <c r="E1102" s="15">
        <f t="shared" si="171"/>
        <v>35492.6</v>
      </c>
      <c r="F1102" s="13"/>
      <c r="G1102" s="14">
        <v>60.39</v>
      </c>
      <c r="H1102" s="15">
        <f t="shared" si="172"/>
        <v>38649.6</v>
      </c>
      <c r="I1102" s="16">
        <f t="shared" si="173"/>
        <v>3157</v>
      </c>
      <c r="J1102" s="19">
        <f t="shared" si="174"/>
        <v>0.08894811876278436</v>
      </c>
      <c r="K1102" s="95" t="s">
        <v>281</v>
      </c>
      <c r="L1102" s="119">
        <v>54.01</v>
      </c>
      <c r="M1102" s="41">
        <f t="shared" si="175"/>
        <v>51.559200000000004</v>
      </c>
      <c r="N1102" s="118">
        <v>60.98</v>
      </c>
      <c r="O1102" s="116"/>
      <c r="P1102" s="116" t="s">
        <v>59</v>
      </c>
      <c r="Q1102" s="117"/>
      <c r="R1102" s="118"/>
      <c r="S1102" s="117"/>
      <c r="T1102" s="116"/>
      <c r="V1102" s="15"/>
      <c r="W1102" s="29"/>
    </row>
    <row r="1103" spans="1:23" s="114" customFormat="1" ht="15">
      <c r="A1103" s="12" t="s">
        <v>48</v>
      </c>
      <c r="B1103" s="65">
        <v>42174.53472222222</v>
      </c>
      <c r="C1103" s="14">
        <v>82.6</v>
      </c>
      <c r="D1103" s="15">
        <v>950</v>
      </c>
      <c r="E1103" s="15">
        <f t="shared" si="171"/>
        <v>78481</v>
      </c>
      <c r="F1103" s="13"/>
      <c r="G1103" s="14">
        <v>96.95</v>
      </c>
      <c r="H1103" s="15">
        <f t="shared" si="172"/>
        <v>92102.5</v>
      </c>
      <c r="I1103" s="16">
        <f t="shared" si="173"/>
        <v>13621.5</v>
      </c>
      <c r="J1103" s="19">
        <f t="shared" si="174"/>
        <v>0.17356430218779068</v>
      </c>
      <c r="K1103" s="95" t="s">
        <v>272</v>
      </c>
      <c r="L1103" s="119">
        <v>84.85</v>
      </c>
      <c r="M1103" s="41">
        <f t="shared" si="175"/>
        <v>76.818</v>
      </c>
      <c r="N1103" s="117">
        <v>103.69</v>
      </c>
      <c r="O1103" s="121">
        <v>42230</v>
      </c>
      <c r="P1103" s="116" t="s">
        <v>48</v>
      </c>
      <c r="Q1103" s="117">
        <v>99.24</v>
      </c>
      <c r="R1103" s="118">
        <f>Q1103*0.855</f>
        <v>84.8502</v>
      </c>
      <c r="S1103" s="117">
        <f>1.11*C1103</f>
        <v>91.686</v>
      </c>
      <c r="T1103" s="116"/>
      <c r="V1103" s="15"/>
      <c r="W1103" s="29"/>
    </row>
    <row r="1104" spans="1:23" s="114" customFormat="1" ht="15">
      <c r="A1104" s="12" t="s">
        <v>48</v>
      </c>
      <c r="B1104" s="65">
        <v>42177.37013888889</v>
      </c>
      <c r="C1104" s="14">
        <v>84.55</v>
      </c>
      <c r="D1104" s="15">
        <v>550</v>
      </c>
      <c r="E1104" s="15">
        <f t="shared" si="171"/>
        <v>46513.5</v>
      </c>
      <c r="F1104" s="13"/>
      <c r="G1104" s="14">
        <v>96.95</v>
      </c>
      <c r="H1104" s="15">
        <f t="shared" si="172"/>
        <v>53322.5</v>
      </c>
      <c r="I1104" s="16">
        <f t="shared" si="173"/>
        <v>6809</v>
      </c>
      <c r="J1104" s="19">
        <f t="shared" si="174"/>
        <v>0.14638760789878208</v>
      </c>
      <c r="K1104" s="95" t="s">
        <v>274</v>
      </c>
      <c r="L1104" s="119">
        <v>84.85</v>
      </c>
      <c r="M1104" s="41">
        <f t="shared" si="175"/>
        <v>78.6315</v>
      </c>
      <c r="N1104" s="117">
        <v>103.69</v>
      </c>
      <c r="O1104" s="116"/>
      <c r="P1104" s="116" t="s">
        <v>48</v>
      </c>
      <c r="Q1104" s="117"/>
      <c r="R1104" s="118"/>
      <c r="S1104" s="117"/>
      <c r="T1104" s="116"/>
      <c r="V1104" s="15"/>
      <c r="W1104" s="29"/>
    </row>
    <row r="1105" spans="1:23" s="114" customFormat="1" ht="15">
      <c r="A1105" s="12" t="s">
        <v>48</v>
      </c>
      <c r="B1105" s="65">
        <v>42178.302777777775</v>
      </c>
      <c r="C1105" s="14">
        <v>86.26</v>
      </c>
      <c r="D1105" s="15">
        <v>350</v>
      </c>
      <c r="E1105" s="15">
        <f t="shared" si="171"/>
        <v>30202</v>
      </c>
      <c r="F1105" s="13"/>
      <c r="G1105" s="14">
        <v>96.95</v>
      </c>
      <c r="H1105" s="15">
        <f t="shared" si="172"/>
        <v>33932.5</v>
      </c>
      <c r="I1105" s="16">
        <f t="shared" si="173"/>
        <v>3730.5</v>
      </c>
      <c r="J1105" s="19">
        <f t="shared" si="174"/>
        <v>0.12351831004569234</v>
      </c>
      <c r="K1105" s="95" t="s">
        <v>275</v>
      </c>
      <c r="L1105" s="119">
        <v>84.85</v>
      </c>
      <c r="M1105" s="41">
        <f t="shared" si="175"/>
        <v>80.22180000000002</v>
      </c>
      <c r="N1105" s="117">
        <v>103.69</v>
      </c>
      <c r="O1105" s="116"/>
      <c r="P1105" s="116" t="s">
        <v>48</v>
      </c>
      <c r="Q1105" s="117"/>
      <c r="R1105" s="118"/>
      <c r="S1105" s="117"/>
      <c r="T1105" s="116"/>
      <c r="V1105" s="15"/>
      <c r="W1105" s="29"/>
    </row>
    <row r="1106" spans="1:20" s="114" customFormat="1" ht="15">
      <c r="A1106" s="12" t="s">
        <v>48</v>
      </c>
      <c r="B1106" s="13">
        <v>42202.27291666667</v>
      </c>
      <c r="C1106" s="14">
        <v>93.22</v>
      </c>
      <c r="D1106" s="15">
        <v>370</v>
      </c>
      <c r="E1106" s="15">
        <f t="shared" si="171"/>
        <v>34502.4</v>
      </c>
      <c r="F1106" s="13"/>
      <c r="G1106" s="14">
        <v>96.95</v>
      </c>
      <c r="H1106" s="15">
        <f t="shared" si="172"/>
        <v>35871.5</v>
      </c>
      <c r="I1106" s="16">
        <f t="shared" si="173"/>
        <v>1369.0999999999985</v>
      </c>
      <c r="J1106" s="19">
        <f t="shared" si="174"/>
        <v>0.0396812975329252</v>
      </c>
      <c r="K1106" s="95" t="s">
        <v>289</v>
      </c>
      <c r="L1106" s="119"/>
      <c r="M1106" s="20">
        <f t="shared" si="175"/>
        <v>86.69460000000001</v>
      </c>
      <c r="N1106" s="117">
        <v>103.69</v>
      </c>
      <c r="P1106" s="116" t="s">
        <v>48</v>
      </c>
      <c r="Q1106" s="117"/>
      <c r="R1106" s="117"/>
      <c r="S1106" s="117"/>
      <c r="T1106" s="116"/>
    </row>
    <row r="1107" spans="1:20" s="114" customFormat="1" ht="15">
      <c r="A1107" s="12" t="s">
        <v>68</v>
      </c>
      <c r="B1107" s="13">
        <v>42201.29722222222</v>
      </c>
      <c r="C1107" s="14">
        <v>68.35</v>
      </c>
      <c r="D1107" s="15">
        <v>600</v>
      </c>
      <c r="E1107" s="15">
        <f t="shared" si="171"/>
        <v>41021</v>
      </c>
      <c r="F1107" s="13"/>
      <c r="G1107" s="14">
        <v>73.1</v>
      </c>
      <c r="H1107" s="15">
        <f t="shared" si="172"/>
        <v>43860</v>
      </c>
      <c r="I1107" s="16">
        <f t="shared" si="173"/>
        <v>2839</v>
      </c>
      <c r="J1107" s="19">
        <f t="shared" si="174"/>
        <v>0.0692084542063821</v>
      </c>
      <c r="K1107" s="95" t="s">
        <v>295</v>
      </c>
      <c r="L1107" s="119">
        <v>65.49</v>
      </c>
      <c r="M1107" s="41">
        <f t="shared" si="175"/>
        <v>63.5655</v>
      </c>
      <c r="N1107" s="117">
        <v>86.66</v>
      </c>
      <c r="O1107" s="121">
        <v>42256</v>
      </c>
      <c r="P1107" s="116" t="s">
        <v>68</v>
      </c>
      <c r="Q1107" s="117">
        <v>76.6</v>
      </c>
      <c r="R1107" s="118">
        <f>Q1107*0.855</f>
        <v>65.493</v>
      </c>
      <c r="S1107" s="117">
        <f>1.11*C1107</f>
        <v>75.8685</v>
      </c>
      <c r="T1107" s="116"/>
    </row>
    <row r="1108" spans="1:20" s="114" customFormat="1" ht="15">
      <c r="A1108" s="12" t="s">
        <v>68</v>
      </c>
      <c r="B1108" s="13">
        <v>42202.285416666666</v>
      </c>
      <c r="C1108" s="14">
        <v>69.54</v>
      </c>
      <c r="D1108" s="15">
        <v>350</v>
      </c>
      <c r="E1108" s="15">
        <f t="shared" si="171"/>
        <v>24350.000000000004</v>
      </c>
      <c r="F1108" s="13"/>
      <c r="G1108" s="14">
        <v>73.1</v>
      </c>
      <c r="H1108" s="15">
        <f t="shared" si="172"/>
        <v>25584.999999999996</v>
      </c>
      <c r="I1108" s="16">
        <f t="shared" si="173"/>
        <v>1234.9999999999927</v>
      </c>
      <c r="J1108" s="19">
        <f t="shared" si="174"/>
        <v>0.05071868583162187</v>
      </c>
      <c r="K1108" s="95" t="s">
        <v>296</v>
      </c>
      <c r="L1108" s="119"/>
      <c r="M1108" s="20">
        <f t="shared" si="175"/>
        <v>64.6722</v>
      </c>
      <c r="N1108" s="117">
        <v>86.66</v>
      </c>
      <c r="P1108" s="116" t="s">
        <v>68</v>
      </c>
      <c r="Q1108" s="117"/>
      <c r="R1108" s="117"/>
      <c r="S1108" s="117"/>
      <c r="T1108" s="116"/>
    </row>
    <row r="1109" spans="1:20" s="114" customFormat="1" ht="15">
      <c r="A1109" s="12" t="s">
        <v>68</v>
      </c>
      <c r="B1109" s="13">
        <v>42202.46527777778</v>
      </c>
      <c r="C1109" s="14">
        <v>71.51</v>
      </c>
      <c r="D1109" s="15">
        <v>230</v>
      </c>
      <c r="E1109" s="15">
        <f t="shared" si="171"/>
        <v>16458.300000000003</v>
      </c>
      <c r="F1109" s="13"/>
      <c r="G1109" s="14">
        <v>73.1</v>
      </c>
      <c r="H1109" s="15">
        <f t="shared" si="172"/>
        <v>16813</v>
      </c>
      <c r="I1109" s="16">
        <f t="shared" si="173"/>
        <v>354.6999999999971</v>
      </c>
      <c r="J1109" s="19">
        <f t="shared" si="174"/>
        <v>0.021551436053541193</v>
      </c>
      <c r="K1109" s="95" t="s">
        <v>297</v>
      </c>
      <c r="L1109" s="119"/>
      <c r="M1109" s="20">
        <f t="shared" si="175"/>
        <v>66.50430000000001</v>
      </c>
      <c r="N1109" s="117">
        <v>86.66</v>
      </c>
      <c r="P1109" s="116" t="s">
        <v>68</v>
      </c>
      <c r="Q1109" s="117"/>
      <c r="R1109" s="117"/>
      <c r="S1109" s="117"/>
      <c r="T1109" s="116"/>
    </row>
    <row r="1110" spans="1:20" s="114" customFormat="1" ht="15">
      <c r="A1110" s="12"/>
      <c r="B1110" s="13"/>
      <c r="C1110" s="14"/>
      <c r="D1110" s="15"/>
      <c r="E1110" s="15"/>
      <c r="F1110" s="13"/>
      <c r="G1110" s="14"/>
      <c r="H1110" s="15"/>
      <c r="I1110" s="16"/>
      <c r="J1110" s="19"/>
      <c r="K1110" s="95"/>
      <c r="L1110" s="119"/>
      <c r="M1110" s="32"/>
      <c r="N1110" s="117"/>
      <c r="P1110" s="116"/>
      <c r="Q1110" s="117"/>
      <c r="R1110" s="117"/>
      <c r="S1110" s="117"/>
      <c r="T1110" s="116"/>
    </row>
    <row r="1111" spans="1:20" s="114" customFormat="1" ht="15">
      <c r="A1111" s="21" t="s">
        <v>14</v>
      </c>
      <c r="B1111" s="22"/>
      <c r="C1111" s="23"/>
      <c r="D1111" s="24"/>
      <c r="E1111" s="24">
        <f>SUM(E1077:E1110)</f>
        <v>866646.9</v>
      </c>
      <c r="F1111" s="22"/>
      <c r="G1111" s="23"/>
      <c r="H1111" s="24">
        <f>SUM(H1077:H1110)</f>
        <v>1037354.35</v>
      </c>
      <c r="I1111" s="25">
        <f>SUM(I1077:I1110)</f>
        <v>170707.44999999995</v>
      </c>
      <c r="J1111" s="26">
        <f>I1111/E1111</f>
        <v>0.19697462715207306</v>
      </c>
      <c r="K1111" s="27" t="s">
        <v>15</v>
      </c>
      <c r="L1111" s="28">
        <f>100000+I1113</f>
        <v>437977.8599999999</v>
      </c>
      <c r="M1111" s="81"/>
      <c r="N1111" s="89"/>
      <c r="Q1111" s="117"/>
      <c r="R1111" s="117"/>
      <c r="S1111" s="117"/>
      <c r="T1111" s="116"/>
    </row>
    <row r="1112" spans="1:20" s="114" customFormat="1" ht="15">
      <c r="A1112" s="12" t="s">
        <v>67</v>
      </c>
      <c r="B1112" s="22"/>
      <c r="C1112" s="25">
        <f>I1113-I1072</f>
        <v>4966.799999999988</v>
      </c>
      <c r="D1112" s="26">
        <f>C1112/H1070</f>
        <v>0.004961446351314602</v>
      </c>
      <c r="E1112" s="24"/>
      <c r="F1112" s="22" t="s">
        <v>16</v>
      </c>
      <c r="G1112" s="117"/>
      <c r="H1112" s="29" t="str">
        <f>IF(ABS(H1111-E1111-I1111)&lt;1,"","ERROR")</f>
        <v/>
      </c>
      <c r="I1112" s="16">
        <v>167270.40999999997</v>
      </c>
      <c r="J1112" s="26"/>
      <c r="K1112" s="111" t="s">
        <v>17</v>
      </c>
      <c r="L1112" s="28">
        <f>(2*(100000+I1113))-E1111</f>
        <v>9308.819999999832</v>
      </c>
      <c r="M1112" s="31"/>
      <c r="Q1112" s="117"/>
      <c r="R1112" s="117"/>
      <c r="S1112" s="117"/>
      <c r="T1112" s="116"/>
    </row>
    <row r="1113" spans="1:20" s="114" customFormat="1" ht="15">
      <c r="A1113" s="12" t="s">
        <v>54</v>
      </c>
      <c r="B1113" s="22"/>
      <c r="C1113" s="25">
        <f>L1111-L1070</f>
        <v>4966.799999999988</v>
      </c>
      <c r="D1113" s="26">
        <f>C1113/L1070</f>
        <v>0.011470376761277159</v>
      </c>
      <c r="E1113" s="24"/>
      <c r="F1113" s="22" t="s">
        <v>18</v>
      </c>
      <c r="G1113" s="117"/>
      <c r="H1113" s="29"/>
      <c r="I1113" s="30">
        <f>I1111+I1112</f>
        <v>337977.8599999999</v>
      </c>
      <c r="J1113" s="26">
        <f>I1113/100000</f>
        <v>3.3797785999999994</v>
      </c>
      <c r="K1113" s="111" t="s">
        <v>19</v>
      </c>
      <c r="L1113" s="26">
        <f>E1111/(2*(100000+I1113))</f>
        <v>0.9893729559754461</v>
      </c>
      <c r="M1113" s="31"/>
      <c r="Q1113" s="117"/>
      <c r="R1113" s="117"/>
      <c r="S1113" s="117"/>
      <c r="T1113" s="116"/>
    </row>
    <row r="1114" spans="1:20" s="114" customFormat="1" ht="15">
      <c r="A1114" s="114">
        <v>7</v>
      </c>
      <c r="B1114" s="22"/>
      <c r="C1114" s="25"/>
      <c r="D1114" s="26"/>
      <c r="E1114" s="24"/>
      <c r="F1114" s="22"/>
      <c r="G1114" s="117"/>
      <c r="H1114" s="29"/>
      <c r="I1114" s="30"/>
      <c r="J1114" s="26"/>
      <c r="K1114" s="111"/>
      <c r="L1114" s="26"/>
      <c r="M1114" s="31"/>
      <c r="Q1114" s="117"/>
      <c r="R1114" s="117"/>
      <c r="S1114" s="117"/>
      <c r="T1114" s="116"/>
    </row>
    <row r="1115" spans="2:20" s="114" customFormat="1" ht="15">
      <c r="B1115" s="22"/>
      <c r="C1115" s="25"/>
      <c r="D1115" s="26"/>
      <c r="E1115" s="24"/>
      <c r="F1115" s="22"/>
      <c r="G1115" s="117"/>
      <c r="H1115" s="29"/>
      <c r="I1115" s="30"/>
      <c r="J1115" s="26"/>
      <c r="K1115" s="111"/>
      <c r="L1115" s="26"/>
      <c r="M1115" s="31"/>
      <c r="Q1115" s="117"/>
      <c r="R1115" s="117"/>
      <c r="S1115" s="117"/>
      <c r="T1115" s="116"/>
    </row>
    <row r="1116" spans="1:20" s="114" customFormat="1" ht="30.75" customHeight="1">
      <c r="A1116" s="130" t="s">
        <v>62</v>
      </c>
      <c r="B1116" s="384" t="s">
        <v>300</v>
      </c>
      <c r="C1116" s="384"/>
      <c r="D1116" s="384"/>
      <c r="E1116" s="384"/>
      <c r="F1116" s="384"/>
      <c r="G1116" s="384"/>
      <c r="H1116" s="384"/>
      <c r="I1116" s="384"/>
      <c r="J1116" s="384"/>
      <c r="K1116" s="384"/>
      <c r="L1116" s="384"/>
      <c r="M1116" s="384"/>
      <c r="N1116" s="384"/>
      <c r="O1116" s="92"/>
      <c r="P1116" s="92"/>
      <c r="Q1116" s="104"/>
      <c r="R1116" s="104"/>
      <c r="S1116" s="107"/>
      <c r="T1116" s="109"/>
    </row>
    <row r="1117" spans="1:22" s="114" customFormat="1" ht="15">
      <c r="A1117" s="2" t="s">
        <v>0</v>
      </c>
      <c r="B1117" s="3" t="s">
        <v>1</v>
      </c>
      <c r="C1117" s="4" t="s">
        <v>2</v>
      </c>
      <c r="D1117" s="5" t="s">
        <v>3</v>
      </c>
      <c r="E1117" s="6" t="s">
        <v>4</v>
      </c>
      <c r="F1117" s="3" t="s">
        <v>5</v>
      </c>
      <c r="G1117" s="7" t="s">
        <v>2</v>
      </c>
      <c r="H1117" s="6" t="s">
        <v>6</v>
      </c>
      <c r="I1117" s="6" t="s">
        <v>7</v>
      </c>
      <c r="J1117" s="8" t="s">
        <v>8</v>
      </c>
      <c r="K1117" s="9" t="s">
        <v>9</v>
      </c>
      <c r="L1117" s="10" t="s">
        <v>10</v>
      </c>
      <c r="M1117" s="11" t="s">
        <v>11</v>
      </c>
      <c r="N1117" s="103" t="s">
        <v>53</v>
      </c>
      <c r="O1117" s="105" t="s">
        <v>110</v>
      </c>
      <c r="P1117" s="106" t="s">
        <v>0</v>
      </c>
      <c r="Q1117" s="117" t="s">
        <v>13</v>
      </c>
      <c r="R1117" s="117" t="s">
        <v>70</v>
      </c>
      <c r="S1117" s="111" t="s">
        <v>103</v>
      </c>
      <c r="T1117" s="116" t="s">
        <v>107</v>
      </c>
      <c r="V1117" s="9"/>
    </row>
    <row r="1118" spans="1:22" s="114" customFormat="1" ht="15">
      <c r="A1118" s="12" t="s">
        <v>80</v>
      </c>
      <c r="B1118" s="65">
        <v>42011.30486111111</v>
      </c>
      <c r="C1118" s="14">
        <v>58.02</v>
      </c>
      <c r="D1118" s="15">
        <v>250</v>
      </c>
      <c r="E1118" s="15">
        <f aca="true" t="shared" si="176" ref="E1118:E1153">C1118*D1118+11</f>
        <v>14516</v>
      </c>
      <c r="F1118" s="13"/>
      <c r="G1118" s="14">
        <v>150.45</v>
      </c>
      <c r="H1118" s="15">
        <f aca="true" t="shared" si="177" ref="H1118:H1153">G1118*D1118</f>
        <v>37612.5</v>
      </c>
      <c r="I1118" s="16">
        <f aca="true" t="shared" si="178" ref="I1118:I1153">H1118-E1118</f>
        <v>23096.5</v>
      </c>
      <c r="J1118" s="19">
        <f aca="true" t="shared" si="179" ref="J1118:J1153">I1118/E1118</f>
        <v>1.5911063653899147</v>
      </c>
      <c r="K1118" s="141" t="s">
        <v>239</v>
      </c>
      <c r="L1118" s="140" t="s">
        <v>51</v>
      </c>
      <c r="M1118" s="41">
        <f aca="true" t="shared" si="180" ref="M1118:M1153">C1118*0.93</f>
        <v>53.958600000000004</v>
      </c>
      <c r="N1118" s="118">
        <v>77.93</v>
      </c>
      <c r="O1118" s="121">
        <v>42090</v>
      </c>
      <c r="P1118" s="116" t="s">
        <v>80</v>
      </c>
      <c r="Q1118" s="117">
        <v>152</v>
      </c>
      <c r="R1118" s="118">
        <f>Q1118*0.855</f>
        <v>129.96</v>
      </c>
      <c r="S1118" s="117">
        <f>1.11*C1118</f>
        <v>64.40220000000001</v>
      </c>
      <c r="T1118" s="116"/>
      <c r="U1118" s="117"/>
      <c r="V1118" s="15"/>
    </row>
    <row r="1119" spans="1:22" s="114" customFormat="1" ht="15">
      <c r="A1119" s="12" t="s">
        <v>80</v>
      </c>
      <c r="B1119" s="65">
        <v>42011.40694444445</v>
      </c>
      <c r="C1119" s="14">
        <v>59.16</v>
      </c>
      <c r="D1119" s="15">
        <v>150</v>
      </c>
      <c r="E1119" s="15">
        <f t="shared" si="176"/>
        <v>8885</v>
      </c>
      <c r="F1119" s="13"/>
      <c r="G1119" s="14">
        <v>150.45</v>
      </c>
      <c r="H1119" s="15">
        <f t="shared" si="177"/>
        <v>22567.5</v>
      </c>
      <c r="I1119" s="16">
        <f t="shared" si="178"/>
        <v>13682.5</v>
      </c>
      <c r="J1119" s="122">
        <f t="shared" si="179"/>
        <v>1.539954980303883</v>
      </c>
      <c r="K1119" s="95" t="s">
        <v>82</v>
      </c>
      <c r="L1119" s="140" t="s">
        <v>51</v>
      </c>
      <c r="M1119" s="41">
        <f t="shared" si="180"/>
        <v>55.0188</v>
      </c>
      <c r="N1119" s="118">
        <v>77.93</v>
      </c>
      <c r="O1119" s="116"/>
      <c r="P1119" s="116" t="s">
        <v>80</v>
      </c>
      <c r="Q1119" s="117"/>
      <c r="R1119" s="118"/>
      <c r="S1119" s="117"/>
      <c r="T1119" s="116"/>
      <c r="V1119" s="15"/>
    </row>
    <row r="1120" spans="1:22" s="114" customFormat="1" ht="15">
      <c r="A1120" s="12" t="s">
        <v>80</v>
      </c>
      <c r="B1120" s="65">
        <v>42012.29305555556</v>
      </c>
      <c r="C1120" s="14">
        <v>60.3</v>
      </c>
      <c r="D1120" s="15">
        <v>100</v>
      </c>
      <c r="E1120" s="15">
        <f t="shared" si="176"/>
        <v>6041</v>
      </c>
      <c r="F1120" s="13"/>
      <c r="G1120" s="14">
        <v>150.45</v>
      </c>
      <c r="H1120" s="15">
        <f t="shared" si="177"/>
        <v>15044.999999999998</v>
      </c>
      <c r="I1120" s="16">
        <f t="shared" si="178"/>
        <v>9003.999999999998</v>
      </c>
      <c r="J1120" s="19">
        <f t="shared" si="179"/>
        <v>1.4904817083264357</v>
      </c>
      <c r="K1120" s="95" t="s">
        <v>83</v>
      </c>
      <c r="L1120" s="140" t="s">
        <v>51</v>
      </c>
      <c r="M1120" s="41">
        <f t="shared" si="180"/>
        <v>56.079</v>
      </c>
      <c r="N1120" s="118">
        <v>77.93</v>
      </c>
      <c r="O1120" s="116"/>
      <c r="P1120" s="116" t="s">
        <v>80</v>
      </c>
      <c r="Q1120" s="117"/>
      <c r="R1120" s="118"/>
      <c r="S1120" s="117"/>
      <c r="T1120" s="116"/>
      <c r="V1120" s="15"/>
    </row>
    <row r="1121" spans="1:22" s="114" customFormat="1" ht="15">
      <c r="A1121" s="12" t="s">
        <v>80</v>
      </c>
      <c r="B1121" s="65">
        <v>42047.271527777775</v>
      </c>
      <c r="C1121" s="14">
        <v>64.65</v>
      </c>
      <c r="D1121" s="15">
        <v>100</v>
      </c>
      <c r="E1121" s="15">
        <f t="shared" si="176"/>
        <v>6476.000000000001</v>
      </c>
      <c r="F1121" s="13"/>
      <c r="G1121" s="14">
        <v>150.45</v>
      </c>
      <c r="H1121" s="15">
        <f t="shared" si="177"/>
        <v>15044.999999999998</v>
      </c>
      <c r="I1121" s="16">
        <f t="shared" si="178"/>
        <v>8568.999999999996</v>
      </c>
      <c r="J1121" s="19">
        <f t="shared" si="179"/>
        <v>1.3231933292155644</v>
      </c>
      <c r="K1121" s="95" t="s">
        <v>132</v>
      </c>
      <c r="L1121" s="140" t="s">
        <v>51</v>
      </c>
      <c r="M1121" s="41">
        <f t="shared" si="180"/>
        <v>60.12450000000001</v>
      </c>
      <c r="N1121" s="118">
        <v>77.93</v>
      </c>
      <c r="O1121" s="116"/>
      <c r="P1121" s="116" t="s">
        <v>80</v>
      </c>
      <c r="Q1121" s="117"/>
      <c r="R1121" s="118"/>
      <c r="S1121" s="117"/>
      <c r="T1121" s="116"/>
      <c r="V1121" s="15"/>
    </row>
    <row r="1122" spans="1:22" s="114" customFormat="1" ht="15">
      <c r="A1122" s="12" t="s">
        <v>80</v>
      </c>
      <c r="B1122" s="65">
        <v>42081.34097222222</v>
      </c>
      <c r="C1122" s="14">
        <v>70</v>
      </c>
      <c r="D1122" s="15">
        <v>120</v>
      </c>
      <c r="E1122" s="15">
        <f t="shared" si="176"/>
        <v>8411</v>
      </c>
      <c r="F1122" s="13"/>
      <c r="G1122" s="14">
        <v>150.45</v>
      </c>
      <c r="H1122" s="15">
        <f t="shared" si="177"/>
        <v>18054</v>
      </c>
      <c r="I1122" s="16">
        <f t="shared" si="178"/>
        <v>9643</v>
      </c>
      <c r="J1122" s="19">
        <f t="shared" si="179"/>
        <v>1.146474854357389</v>
      </c>
      <c r="K1122" s="95" t="s">
        <v>181</v>
      </c>
      <c r="L1122" s="140" t="s">
        <v>51</v>
      </c>
      <c r="M1122" s="41">
        <f t="shared" si="180"/>
        <v>65.10000000000001</v>
      </c>
      <c r="N1122" s="118">
        <v>77.93</v>
      </c>
      <c r="O1122" s="116"/>
      <c r="P1122" s="116" t="s">
        <v>80</v>
      </c>
      <c r="Q1122" s="117"/>
      <c r="R1122" s="118"/>
      <c r="S1122" s="117"/>
      <c r="T1122" s="116"/>
      <c r="V1122" s="15"/>
    </row>
    <row r="1123" spans="1:22" s="114" customFormat="1" ht="15">
      <c r="A1123" s="12" t="s">
        <v>80</v>
      </c>
      <c r="B1123" s="65">
        <v>42117.55694444444</v>
      </c>
      <c r="C1123" s="14">
        <v>77.75</v>
      </c>
      <c r="D1123" s="15">
        <v>150</v>
      </c>
      <c r="E1123" s="15">
        <f t="shared" si="176"/>
        <v>11673.5</v>
      </c>
      <c r="F1123" s="13"/>
      <c r="G1123" s="14">
        <v>150.45</v>
      </c>
      <c r="H1123" s="15">
        <f t="shared" si="177"/>
        <v>22567.5</v>
      </c>
      <c r="I1123" s="16">
        <f t="shared" si="178"/>
        <v>10894</v>
      </c>
      <c r="J1123" s="19">
        <f t="shared" si="179"/>
        <v>0.9332248254593738</v>
      </c>
      <c r="K1123" s="95" t="s">
        <v>233</v>
      </c>
      <c r="L1123" s="140" t="s">
        <v>51</v>
      </c>
      <c r="M1123" s="41">
        <f t="shared" si="180"/>
        <v>72.3075</v>
      </c>
      <c r="N1123" s="118">
        <v>77.93</v>
      </c>
      <c r="O1123" s="116"/>
      <c r="P1123" s="116" t="s">
        <v>80</v>
      </c>
      <c r="Q1123" s="117"/>
      <c r="R1123" s="118"/>
      <c r="S1123" s="117"/>
      <c r="T1123" s="116"/>
      <c r="V1123" s="15"/>
    </row>
    <row r="1124" spans="1:23" s="114" customFormat="1" ht="15">
      <c r="A1124" s="12" t="s">
        <v>80</v>
      </c>
      <c r="B1124" s="65">
        <v>42128.525</v>
      </c>
      <c r="C1124" s="14">
        <v>93.09</v>
      </c>
      <c r="D1124" s="15">
        <v>180</v>
      </c>
      <c r="E1124" s="15">
        <f t="shared" si="176"/>
        <v>16767.2</v>
      </c>
      <c r="F1124" s="13"/>
      <c r="G1124" s="14">
        <v>150.45</v>
      </c>
      <c r="H1124" s="15">
        <f t="shared" si="177"/>
        <v>27080.999999999996</v>
      </c>
      <c r="I1124" s="16">
        <f t="shared" si="178"/>
        <v>10313.799999999996</v>
      </c>
      <c r="J1124" s="19">
        <f t="shared" si="179"/>
        <v>0.6151176105730233</v>
      </c>
      <c r="K1124" s="95" t="s">
        <v>244</v>
      </c>
      <c r="L1124" s="140" t="s">
        <v>51</v>
      </c>
      <c r="M1124" s="41">
        <f t="shared" si="180"/>
        <v>86.5737</v>
      </c>
      <c r="N1124" s="118">
        <v>77.93</v>
      </c>
      <c r="O1124" s="116"/>
      <c r="P1124" s="116" t="s">
        <v>80</v>
      </c>
      <c r="Q1124" s="117"/>
      <c r="R1124" s="118"/>
      <c r="S1124" s="117"/>
      <c r="T1124" s="116"/>
      <c r="V1124" s="15"/>
      <c r="W1124" s="29"/>
    </row>
    <row r="1125" spans="1:23" s="114" customFormat="1" ht="15">
      <c r="A1125" s="12" t="s">
        <v>80</v>
      </c>
      <c r="B1125" s="65">
        <v>42186.37847222222</v>
      </c>
      <c r="C1125" s="14">
        <v>111.51</v>
      </c>
      <c r="D1125" s="15">
        <v>210</v>
      </c>
      <c r="E1125" s="15">
        <f t="shared" si="176"/>
        <v>23428.100000000002</v>
      </c>
      <c r="F1125" s="13"/>
      <c r="G1125" s="14">
        <v>150.45</v>
      </c>
      <c r="H1125" s="15">
        <f t="shared" si="177"/>
        <v>31594.499999999996</v>
      </c>
      <c r="I1125" s="16">
        <f t="shared" si="178"/>
        <v>8166.399999999994</v>
      </c>
      <c r="J1125" s="19">
        <f t="shared" si="179"/>
        <v>0.3485728676247751</v>
      </c>
      <c r="K1125" s="95" t="s">
        <v>277</v>
      </c>
      <c r="L1125" s="140" t="s">
        <v>51</v>
      </c>
      <c r="M1125" s="41">
        <f t="shared" si="180"/>
        <v>103.7043</v>
      </c>
      <c r="N1125" s="118">
        <v>77.93</v>
      </c>
      <c r="O1125" s="116"/>
      <c r="P1125" s="116" t="s">
        <v>80</v>
      </c>
      <c r="Q1125" s="117"/>
      <c r="R1125" s="118"/>
      <c r="S1125" s="117"/>
      <c r="T1125" s="116"/>
      <c r="V1125" s="15"/>
      <c r="W1125" s="29"/>
    </row>
    <row r="1126" spans="1:23" s="114" customFormat="1" ht="15">
      <c r="A1126" s="12" t="s">
        <v>80</v>
      </c>
      <c r="B1126" s="65">
        <v>42207.52222222222</v>
      </c>
      <c r="C1126" s="14">
        <v>125.19</v>
      </c>
      <c r="D1126" s="15">
        <v>250</v>
      </c>
      <c r="E1126" s="15">
        <f t="shared" si="176"/>
        <v>31308.5</v>
      </c>
      <c r="F1126" s="13"/>
      <c r="G1126" s="14">
        <v>150.45</v>
      </c>
      <c r="H1126" s="15">
        <f t="shared" si="177"/>
        <v>37612.5</v>
      </c>
      <c r="I1126" s="16">
        <f t="shared" si="178"/>
        <v>6304</v>
      </c>
      <c r="J1126" s="19">
        <f t="shared" si="179"/>
        <v>0.20135107079547088</v>
      </c>
      <c r="K1126" s="95" t="s">
        <v>299</v>
      </c>
      <c r="L1126" s="97"/>
      <c r="M1126" s="20">
        <f t="shared" si="180"/>
        <v>116.42670000000001</v>
      </c>
      <c r="N1126" s="118">
        <v>77.93</v>
      </c>
      <c r="O1126" s="116"/>
      <c r="P1126" s="116" t="s">
        <v>80</v>
      </c>
      <c r="Q1126" s="117"/>
      <c r="R1126" s="118"/>
      <c r="S1126" s="117"/>
      <c r="T1126" s="116"/>
      <c r="V1126" s="15"/>
      <c r="W1126" s="29"/>
    </row>
    <row r="1127" spans="1:23" s="114" customFormat="1" ht="15">
      <c r="A1127" s="85" t="s">
        <v>80</v>
      </c>
      <c r="B1127" s="65">
        <v>42215.28888888889</v>
      </c>
      <c r="C1127" s="14">
        <v>143.4</v>
      </c>
      <c r="D1127" s="15">
        <v>300</v>
      </c>
      <c r="E1127" s="15">
        <f t="shared" si="176"/>
        <v>43031</v>
      </c>
      <c r="F1127" s="13"/>
      <c r="G1127" s="14">
        <v>150.45</v>
      </c>
      <c r="H1127" s="15">
        <f t="shared" si="177"/>
        <v>45135</v>
      </c>
      <c r="I1127" s="16">
        <f t="shared" si="178"/>
        <v>2104</v>
      </c>
      <c r="J1127" s="19">
        <f t="shared" si="179"/>
        <v>0.048894982686900144</v>
      </c>
      <c r="K1127" s="95" t="s">
        <v>302</v>
      </c>
      <c r="L1127" s="97"/>
      <c r="M1127" s="20">
        <f t="shared" si="180"/>
        <v>133.36200000000002</v>
      </c>
      <c r="N1127" s="118">
        <v>77.93</v>
      </c>
      <c r="O1127" s="116"/>
      <c r="P1127" s="116" t="s">
        <v>80</v>
      </c>
      <c r="Q1127" s="117"/>
      <c r="R1127" s="118"/>
      <c r="S1127" s="117"/>
      <c r="T1127" s="116"/>
      <c r="V1127" s="15"/>
      <c r="W1127" s="29"/>
    </row>
    <row r="1128" spans="1:22" s="114" customFormat="1" ht="15">
      <c r="A1128" s="12" t="s">
        <v>169</v>
      </c>
      <c r="B1128" s="65">
        <v>42076.538194444445</v>
      </c>
      <c r="C1128" s="14">
        <v>56.64</v>
      </c>
      <c r="D1128" s="15">
        <v>320</v>
      </c>
      <c r="E1128" s="15">
        <f t="shared" si="176"/>
        <v>18135.8</v>
      </c>
      <c r="F1128" s="13"/>
      <c r="G1128" s="14">
        <v>69.51</v>
      </c>
      <c r="H1128" s="15">
        <f t="shared" si="177"/>
        <v>22243.2</v>
      </c>
      <c r="I1128" s="16">
        <f t="shared" si="178"/>
        <v>4107.4000000000015</v>
      </c>
      <c r="J1128" s="19">
        <f t="shared" si="179"/>
        <v>0.2264802214404659</v>
      </c>
      <c r="K1128" s="95" t="s">
        <v>170</v>
      </c>
      <c r="L1128" s="119">
        <v>60</v>
      </c>
      <c r="M1128" s="41">
        <f t="shared" si="180"/>
        <v>52.675200000000004</v>
      </c>
      <c r="N1128" s="118">
        <v>71.25</v>
      </c>
      <c r="O1128" s="121">
        <v>42132</v>
      </c>
      <c r="P1128" s="116" t="s">
        <v>169</v>
      </c>
      <c r="Q1128" s="117">
        <v>70.18</v>
      </c>
      <c r="R1128" s="118">
        <f>Q1128*0.855</f>
        <v>60.0039</v>
      </c>
      <c r="S1128" s="117">
        <f>1.11*C1128</f>
        <v>62.870400000000004</v>
      </c>
      <c r="T1128" s="116"/>
      <c r="U1128" s="117"/>
      <c r="V1128" s="15"/>
    </row>
    <row r="1129" spans="1:22" s="114" customFormat="1" ht="15">
      <c r="A1129" s="12" t="s">
        <v>169</v>
      </c>
      <c r="B1129" s="65">
        <v>42082.302777777775</v>
      </c>
      <c r="C1129" s="14">
        <v>57.9</v>
      </c>
      <c r="D1129" s="15">
        <v>190</v>
      </c>
      <c r="E1129" s="15">
        <f t="shared" si="176"/>
        <v>11012</v>
      </c>
      <c r="F1129" s="13"/>
      <c r="G1129" s="14">
        <v>69.51</v>
      </c>
      <c r="H1129" s="15">
        <f t="shared" si="177"/>
        <v>13206.900000000001</v>
      </c>
      <c r="I1129" s="16">
        <f t="shared" si="178"/>
        <v>2194.9000000000015</v>
      </c>
      <c r="J1129" s="19">
        <f t="shared" si="179"/>
        <v>0.19931892480929908</v>
      </c>
      <c r="K1129" s="95" t="s">
        <v>217</v>
      </c>
      <c r="L1129" s="119">
        <v>60</v>
      </c>
      <c r="M1129" s="41">
        <f t="shared" si="180"/>
        <v>53.847</v>
      </c>
      <c r="N1129" s="118">
        <v>71.25</v>
      </c>
      <c r="O1129" s="116"/>
      <c r="P1129" s="116" t="s">
        <v>169</v>
      </c>
      <c r="Q1129" s="117"/>
      <c r="R1129" s="118"/>
      <c r="S1129" s="117"/>
      <c r="T1129" s="116"/>
      <c r="V1129" s="15"/>
    </row>
    <row r="1130" spans="1:23" s="114" customFormat="1" ht="15">
      <c r="A1130" s="12" t="s">
        <v>169</v>
      </c>
      <c r="B1130" s="65">
        <v>42103.433333333334</v>
      </c>
      <c r="C1130" s="14">
        <v>59.27</v>
      </c>
      <c r="D1130" s="15">
        <v>125</v>
      </c>
      <c r="E1130" s="15">
        <f t="shared" si="176"/>
        <v>7419.75</v>
      </c>
      <c r="F1130" s="13"/>
      <c r="G1130" s="14">
        <v>69.51</v>
      </c>
      <c r="H1130" s="15">
        <f t="shared" si="177"/>
        <v>8688.75</v>
      </c>
      <c r="I1130" s="16">
        <f t="shared" si="178"/>
        <v>1269</v>
      </c>
      <c r="J1130" s="19">
        <f t="shared" si="179"/>
        <v>0.1710300212271303</v>
      </c>
      <c r="K1130" s="95" t="s">
        <v>216</v>
      </c>
      <c r="L1130" s="119">
        <v>60</v>
      </c>
      <c r="M1130" s="41">
        <f t="shared" si="180"/>
        <v>55.121100000000006</v>
      </c>
      <c r="N1130" s="118">
        <v>71.25</v>
      </c>
      <c r="O1130" s="116"/>
      <c r="P1130" s="116" t="s">
        <v>169</v>
      </c>
      <c r="Q1130" s="117"/>
      <c r="R1130" s="118"/>
      <c r="S1130" s="117"/>
      <c r="T1130" s="116"/>
      <c r="V1130" s="15"/>
      <c r="W1130" s="29"/>
    </row>
    <row r="1131" spans="1:23" s="114" customFormat="1" ht="15">
      <c r="A1131" s="12" t="s">
        <v>169</v>
      </c>
      <c r="B1131" s="65">
        <v>42173.30486111111</v>
      </c>
      <c r="C1131" s="14">
        <v>62.25</v>
      </c>
      <c r="D1131" s="15">
        <v>65</v>
      </c>
      <c r="E1131" s="15">
        <f t="shared" si="176"/>
        <v>4057.25</v>
      </c>
      <c r="F1131" s="13"/>
      <c r="G1131" s="14">
        <v>69.51</v>
      </c>
      <c r="H1131" s="15">
        <f t="shared" si="177"/>
        <v>4518.150000000001</v>
      </c>
      <c r="I1131" s="16">
        <f t="shared" si="178"/>
        <v>460.90000000000055</v>
      </c>
      <c r="J1131" s="19">
        <f t="shared" si="179"/>
        <v>0.1135991126994887</v>
      </c>
      <c r="K1131" s="95" t="s">
        <v>270</v>
      </c>
      <c r="L1131" s="119">
        <v>60</v>
      </c>
      <c r="M1131" s="41">
        <f t="shared" si="180"/>
        <v>57.892500000000005</v>
      </c>
      <c r="N1131" s="118">
        <v>71.25</v>
      </c>
      <c r="O1131" s="116"/>
      <c r="P1131" s="116" t="s">
        <v>169</v>
      </c>
      <c r="Q1131" s="117"/>
      <c r="R1131" s="118"/>
      <c r="S1131" s="117"/>
      <c r="T1131" s="116"/>
      <c r="V1131" s="15"/>
      <c r="W1131" s="29"/>
    </row>
    <row r="1132" spans="1:23" s="114" customFormat="1" ht="15">
      <c r="A1132" s="12" t="s">
        <v>169</v>
      </c>
      <c r="B1132" s="65">
        <v>42185.43472222222</v>
      </c>
      <c r="C1132" s="14">
        <v>65.19</v>
      </c>
      <c r="D1132" s="15">
        <v>140</v>
      </c>
      <c r="E1132" s="15">
        <f t="shared" si="176"/>
        <v>9137.6</v>
      </c>
      <c r="F1132" s="13"/>
      <c r="G1132" s="14">
        <v>69.51</v>
      </c>
      <c r="H1132" s="15">
        <f t="shared" si="177"/>
        <v>9731.400000000001</v>
      </c>
      <c r="I1132" s="16">
        <f t="shared" si="178"/>
        <v>593.8000000000011</v>
      </c>
      <c r="J1132" s="19">
        <f t="shared" si="179"/>
        <v>0.06498424093853977</v>
      </c>
      <c r="K1132" s="95" t="s">
        <v>278</v>
      </c>
      <c r="L1132" s="119"/>
      <c r="M1132" s="20">
        <f t="shared" si="180"/>
        <v>60.6267</v>
      </c>
      <c r="N1132" s="118">
        <v>71.25</v>
      </c>
      <c r="O1132" s="116"/>
      <c r="P1132" s="116" t="s">
        <v>169</v>
      </c>
      <c r="Q1132" s="117"/>
      <c r="R1132" s="118"/>
      <c r="S1132" s="117"/>
      <c r="T1132" s="116"/>
      <c r="V1132" s="15"/>
      <c r="W1132" s="29"/>
    </row>
    <row r="1133" spans="1:22" s="114" customFormat="1" ht="15">
      <c r="A1133" s="12" t="s">
        <v>208</v>
      </c>
      <c r="B1133" s="65">
        <v>42090.308333333334</v>
      </c>
      <c r="C1133" s="14">
        <v>214</v>
      </c>
      <c r="D1133" s="15">
        <v>95</v>
      </c>
      <c r="E1133" s="15">
        <f t="shared" si="176"/>
        <v>20341</v>
      </c>
      <c r="F1133" s="13"/>
      <c r="G1133" s="14">
        <v>240.31</v>
      </c>
      <c r="H1133" s="15">
        <f t="shared" si="177"/>
        <v>22829.45</v>
      </c>
      <c r="I1133" s="16">
        <f t="shared" si="178"/>
        <v>2488.4500000000007</v>
      </c>
      <c r="J1133" s="19">
        <f t="shared" si="179"/>
        <v>0.12233665994788853</v>
      </c>
      <c r="K1133" s="95" t="s">
        <v>212</v>
      </c>
      <c r="L1133" s="119">
        <v>211.19</v>
      </c>
      <c r="M1133" s="41">
        <f t="shared" si="180"/>
        <v>199.02</v>
      </c>
      <c r="N1133" s="118">
        <v>267.7</v>
      </c>
      <c r="O1133" s="121">
        <v>42136</v>
      </c>
      <c r="P1133" s="116" t="s">
        <v>208</v>
      </c>
      <c r="Q1133" s="117">
        <v>247</v>
      </c>
      <c r="R1133" s="118">
        <f>Q1133*0.855</f>
        <v>211.185</v>
      </c>
      <c r="S1133" s="117">
        <f>1.11*C1133</f>
        <v>237.54000000000002</v>
      </c>
      <c r="T1133" s="116"/>
      <c r="U1133" s="117"/>
      <c r="V1133" s="15"/>
    </row>
    <row r="1134" spans="1:22" s="114" customFormat="1" ht="15">
      <c r="A1134" s="12" t="s">
        <v>208</v>
      </c>
      <c r="B1134" s="65">
        <v>42093.29305555556</v>
      </c>
      <c r="C1134" s="14">
        <v>219.41</v>
      </c>
      <c r="D1134" s="15">
        <v>55</v>
      </c>
      <c r="E1134" s="15">
        <f t="shared" si="176"/>
        <v>12078.55</v>
      </c>
      <c r="F1134" s="13"/>
      <c r="G1134" s="14">
        <v>240.31</v>
      </c>
      <c r="H1134" s="15">
        <f t="shared" si="177"/>
        <v>13217.05</v>
      </c>
      <c r="I1134" s="16">
        <f t="shared" si="178"/>
        <v>1138.5</v>
      </c>
      <c r="J1134" s="19">
        <f t="shared" si="179"/>
        <v>0.09425800282318657</v>
      </c>
      <c r="K1134" s="95" t="s">
        <v>211</v>
      </c>
      <c r="L1134" s="119">
        <v>211.19</v>
      </c>
      <c r="M1134" s="41">
        <f t="shared" si="180"/>
        <v>204.0513</v>
      </c>
      <c r="N1134" s="118">
        <v>267.7</v>
      </c>
      <c r="O1134" s="116"/>
      <c r="P1134" s="116" t="s">
        <v>208</v>
      </c>
      <c r="Q1134" s="117"/>
      <c r="R1134" s="118"/>
      <c r="S1134" s="117"/>
      <c r="T1134" s="116"/>
      <c r="V1134" s="15"/>
    </row>
    <row r="1135" spans="1:23" s="114" customFormat="1" ht="15">
      <c r="A1135" s="12" t="s">
        <v>208</v>
      </c>
      <c r="B1135" s="65">
        <v>42117.27569444444</v>
      </c>
      <c r="C1135" s="14">
        <v>226.35</v>
      </c>
      <c r="D1135" s="15">
        <v>35</v>
      </c>
      <c r="E1135" s="15">
        <f t="shared" si="176"/>
        <v>7933.25</v>
      </c>
      <c r="F1135" s="13"/>
      <c r="G1135" s="14">
        <v>240.31</v>
      </c>
      <c r="H1135" s="15">
        <f t="shared" si="177"/>
        <v>8410.85</v>
      </c>
      <c r="I1135" s="16">
        <f t="shared" si="178"/>
        <v>477.60000000000036</v>
      </c>
      <c r="J1135" s="19">
        <f t="shared" si="179"/>
        <v>0.06020231304950687</v>
      </c>
      <c r="K1135" s="95" t="s">
        <v>236</v>
      </c>
      <c r="L1135" s="119">
        <v>211.19</v>
      </c>
      <c r="M1135" s="41">
        <f t="shared" si="180"/>
        <v>210.5055</v>
      </c>
      <c r="N1135" s="118">
        <v>267.7</v>
      </c>
      <c r="O1135" s="116"/>
      <c r="P1135" s="116" t="s">
        <v>208</v>
      </c>
      <c r="Q1135" s="117"/>
      <c r="R1135" s="118"/>
      <c r="S1135" s="117"/>
      <c r="T1135" s="116"/>
      <c r="V1135" s="15"/>
      <c r="W1135" s="29"/>
    </row>
    <row r="1136" spans="1:23" s="114" customFormat="1" ht="15">
      <c r="A1136" s="12" t="s">
        <v>66</v>
      </c>
      <c r="B1136" s="65">
        <v>42156.31875</v>
      </c>
      <c r="C1136" s="14">
        <v>41</v>
      </c>
      <c r="D1136" s="15">
        <v>1900</v>
      </c>
      <c r="E1136" s="15">
        <f t="shared" si="176"/>
        <v>77911</v>
      </c>
      <c r="F1136" s="13"/>
      <c r="G1136" s="14">
        <v>49.25</v>
      </c>
      <c r="H1136" s="15">
        <f t="shared" si="177"/>
        <v>93575</v>
      </c>
      <c r="I1136" s="16">
        <f t="shared" si="178"/>
        <v>15664</v>
      </c>
      <c r="J1136" s="19">
        <f t="shared" si="179"/>
        <v>0.20104991592971466</v>
      </c>
      <c r="K1136" s="95" t="s">
        <v>256</v>
      </c>
      <c r="L1136" s="119">
        <v>44.25</v>
      </c>
      <c r="M1136" s="41">
        <f t="shared" si="180"/>
        <v>38.13</v>
      </c>
      <c r="N1136" s="118">
        <v>52.13</v>
      </c>
      <c r="O1136" s="121">
        <v>42215</v>
      </c>
      <c r="P1136" s="116" t="s">
        <v>66</v>
      </c>
      <c r="Q1136" s="117">
        <v>51.75</v>
      </c>
      <c r="R1136" s="118">
        <f>Q1136*0.855</f>
        <v>44.246249999999996</v>
      </c>
      <c r="S1136" s="117">
        <f>1.11*C1136</f>
        <v>45.510000000000005</v>
      </c>
      <c r="T1136" s="116"/>
      <c r="V1136" s="15"/>
      <c r="W1136" s="29"/>
    </row>
    <row r="1137" spans="1:23" s="114" customFormat="1" ht="15">
      <c r="A1137" s="12" t="s">
        <v>66</v>
      </c>
      <c r="B1137" s="65">
        <v>42158.308333333334</v>
      </c>
      <c r="C1137" s="14">
        <v>42.1</v>
      </c>
      <c r="D1137" s="15">
        <v>1100</v>
      </c>
      <c r="E1137" s="15">
        <f t="shared" si="176"/>
        <v>46321</v>
      </c>
      <c r="F1137" s="13"/>
      <c r="G1137" s="14">
        <v>49.25</v>
      </c>
      <c r="H1137" s="15">
        <f t="shared" si="177"/>
        <v>54175</v>
      </c>
      <c r="I1137" s="16">
        <f t="shared" si="178"/>
        <v>7854</v>
      </c>
      <c r="J1137" s="19">
        <f t="shared" si="179"/>
        <v>0.16955592495844218</v>
      </c>
      <c r="K1137" s="95" t="s">
        <v>261</v>
      </c>
      <c r="L1137" s="119">
        <v>42.84</v>
      </c>
      <c r="M1137" s="41">
        <f t="shared" si="180"/>
        <v>39.153000000000006</v>
      </c>
      <c r="N1137" s="118">
        <v>52.13</v>
      </c>
      <c r="O1137" s="116"/>
      <c r="P1137" s="116" t="s">
        <v>66</v>
      </c>
      <c r="Q1137" s="117"/>
      <c r="R1137" s="118"/>
      <c r="S1137" s="117"/>
      <c r="T1137" s="116"/>
      <c r="V1137" s="15"/>
      <c r="W1137" s="29"/>
    </row>
    <row r="1138" spans="1:23" s="114" customFormat="1" ht="15">
      <c r="A1138" s="12" t="s">
        <v>66</v>
      </c>
      <c r="B1138" s="65">
        <v>41798.27222222222</v>
      </c>
      <c r="C1138" s="14">
        <v>43.43</v>
      </c>
      <c r="D1138" s="15">
        <v>700</v>
      </c>
      <c r="E1138" s="15">
        <f t="shared" si="176"/>
        <v>30412</v>
      </c>
      <c r="F1138" s="13"/>
      <c r="G1138" s="14">
        <v>49.25</v>
      </c>
      <c r="H1138" s="15">
        <f t="shared" si="177"/>
        <v>34475</v>
      </c>
      <c r="I1138" s="16">
        <f t="shared" si="178"/>
        <v>4063</v>
      </c>
      <c r="J1138" s="19">
        <f t="shared" si="179"/>
        <v>0.1335985795080889</v>
      </c>
      <c r="K1138" s="95" t="s">
        <v>260</v>
      </c>
      <c r="L1138" s="119">
        <v>42.84</v>
      </c>
      <c r="M1138" s="41">
        <f t="shared" si="180"/>
        <v>40.389900000000004</v>
      </c>
      <c r="N1138" s="118">
        <v>52.13</v>
      </c>
      <c r="O1138" s="116"/>
      <c r="P1138" s="116" t="s">
        <v>66</v>
      </c>
      <c r="Q1138" s="117"/>
      <c r="R1138" s="118"/>
      <c r="S1138" s="117"/>
      <c r="T1138" s="116"/>
      <c r="V1138" s="15"/>
      <c r="W1138" s="29"/>
    </row>
    <row r="1139" spans="1:23" s="114" customFormat="1" ht="15">
      <c r="A1139" s="12" t="s">
        <v>66</v>
      </c>
      <c r="B1139" s="65">
        <v>42195.27569444444</v>
      </c>
      <c r="C1139" s="14">
        <v>44.78</v>
      </c>
      <c r="D1139" s="15">
        <v>370</v>
      </c>
      <c r="E1139" s="15">
        <f t="shared" si="176"/>
        <v>16579.600000000002</v>
      </c>
      <c r="F1139" s="13"/>
      <c r="G1139" s="14">
        <v>49.25</v>
      </c>
      <c r="H1139" s="15">
        <f t="shared" si="177"/>
        <v>18222.5</v>
      </c>
      <c r="I1139" s="16">
        <f t="shared" si="178"/>
        <v>1642.8999999999978</v>
      </c>
      <c r="J1139" s="19">
        <f t="shared" si="179"/>
        <v>0.09909165480469961</v>
      </c>
      <c r="K1139" s="95" t="s">
        <v>286</v>
      </c>
      <c r="L1139" s="119">
        <v>42.84</v>
      </c>
      <c r="M1139" s="41">
        <f t="shared" si="180"/>
        <v>41.6454</v>
      </c>
      <c r="N1139" s="118">
        <v>52.13</v>
      </c>
      <c r="O1139" s="116"/>
      <c r="P1139" s="116" t="s">
        <v>66</v>
      </c>
      <c r="Q1139" s="117"/>
      <c r="R1139" s="118"/>
      <c r="S1139" s="117"/>
      <c r="T1139" s="116"/>
      <c r="V1139" s="15"/>
      <c r="W1139" s="29"/>
    </row>
    <row r="1140" spans="1:23" s="114" customFormat="1" ht="15">
      <c r="A1140" s="12" t="s">
        <v>66</v>
      </c>
      <c r="B1140" s="65">
        <v>42198.27222222222</v>
      </c>
      <c r="C1140" s="14">
        <v>46.9</v>
      </c>
      <c r="D1140" s="15">
        <v>370</v>
      </c>
      <c r="E1140" s="15">
        <f t="shared" si="176"/>
        <v>17364</v>
      </c>
      <c r="F1140" s="13"/>
      <c r="G1140" s="14">
        <v>49.25</v>
      </c>
      <c r="H1140" s="15">
        <f t="shared" si="177"/>
        <v>18222.5</v>
      </c>
      <c r="I1140" s="16">
        <f t="shared" si="178"/>
        <v>858.5</v>
      </c>
      <c r="J1140" s="19">
        <f t="shared" si="179"/>
        <v>0.0494413729555402</v>
      </c>
      <c r="K1140" s="95" t="s">
        <v>287</v>
      </c>
      <c r="L1140" s="119"/>
      <c r="M1140" s="20">
        <f t="shared" si="180"/>
        <v>43.617000000000004</v>
      </c>
      <c r="N1140" s="118">
        <v>52.13</v>
      </c>
      <c r="O1140" s="116"/>
      <c r="P1140" s="116" t="s">
        <v>66</v>
      </c>
      <c r="Q1140" s="117"/>
      <c r="R1140" s="118"/>
      <c r="S1140" s="117"/>
      <c r="T1140" s="116"/>
      <c r="V1140" s="15"/>
      <c r="W1140" s="29"/>
    </row>
    <row r="1141" spans="1:23" s="114" customFormat="1" ht="15">
      <c r="A1141" s="85" t="s">
        <v>66</v>
      </c>
      <c r="B1141" s="65">
        <v>42215.35833333333</v>
      </c>
      <c r="C1141" s="14">
        <v>48.42</v>
      </c>
      <c r="D1141" s="15">
        <v>450</v>
      </c>
      <c r="E1141" s="15">
        <f t="shared" si="176"/>
        <v>21800</v>
      </c>
      <c r="F1141" s="13"/>
      <c r="G1141" s="14">
        <v>49.25</v>
      </c>
      <c r="H1141" s="15">
        <f t="shared" si="177"/>
        <v>22162.5</v>
      </c>
      <c r="I1141" s="16">
        <f t="shared" si="178"/>
        <v>362.5</v>
      </c>
      <c r="J1141" s="19">
        <f t="shared" si="179"/>
        <v>0.016628440366972478</v>
      </c>
      <c r="K1141" s="95" t="s">
        <v>301</v>
      </c>
      <c r="L1141" s="119"/>
      <c r="M1141" s="20">
        <f t="shared" si="180"/>
        <v>45.03060000000001</v>
      </c>
      <c r="N1141" s="118">
        <v>53.13</v>
      </c>
      <c r="O1141" s="116"/>
      <c r="P1141" s="116" t="s">
        <v>66</v>
      </c>
      <c r="Q1141" s="117"/>
      <c r="R1141" s="118"/>
      <c r="S1141" s="117"/>
      <c r="T1141" s="116"/>
      <c r="V1141" s="15"/>
      <c r="W1141" s="29"/>
    </row>
    <row r="1142" spans="1:23" s="114" customFormat="1" ht="15">
      <c r="A1142" s="12" t="s">
        <v>59</v>
      </c>
      <c r="B1142" s="65">
        <v>42164.36944444444</v>
      </c>
      <c r="C1142" s="14">
        <v>47.25</v>
      </c>
      <c r="D1142" s="15">
        <v>1600</v>
      </c>
      <c r="E1142" s="15">
        <f t="shared" si="176"/>
        <v>75611</v>
      </c>
      <c r="F1142" s="13"/>
      <c r="G1142" s="14">
        <v>60.1</v>
      </c>
      <c r="H1142" s="15">
        <f t="shared" si="177"/>
        <v>96160</v>
      </c>
      <c r="I1142" s="16">
        <f t="shared" si="178"/>
        <v>20549</v>
      </c>
      <c r="J1142" s="19">
        <f t="shared" si="179"/>
        <v>0.27177262567615823</v>
      </c>
      <c r="K1142" s="95" t="s">
        <v>288</v>
      </c>
      <c r="L1142" s="119">
        <v>54.01</v>
      </c>
      <c r="M1142" s="41">
        <f t="shared" si="180"/>
        <v>43.9425</v>
      </c>
      <c r="N1142" s="118">
        <v>60.98</v>
      </c>
      <c r="O1142" s="121">
        <v>42223</v>
      </c>
      <c r="P1142" s="116" t="s">
        <v>59</v>
      </c>
      <c r="Q1142" s="117">
        <v>63.17</v>
      </c>
      <c r="R1142" s="118">
        <f>Q1142*0.855</f>
        <v>54.01035</v>
      </c>
      <c r="S1142" s="117">
        <f>1.11*C1142</f>
        <v>52.447500000000005</v>
      </c>
      <c r="T1142" s="116"/>
      <c r="V1142" s="15"/>
      <c r="W1142" s="29"/>
    </row>
    <row r="1143" spans="1:23" s="114" customFormat="1" ht="15">
      <c r="A1143" s="12" t="s">
        <v>59</v>
      </c>
      <c r="B1143" s="65">
        <v>42164.478472222225</v>
      </c>
      <c r="C1143" s="14">
        <v>48.3</v>
      </c>
      <c r="D1143" s="15">
        <v>1000</v>
      </c>
      <c r="E1143" s="15">
        <f t="shared" si="176"/>
        <v>48311</v>
      </c>
      <c r="F1143" s="13"/>
      <c r="G1143" s="14">
        <v>60.1</v>
      </c>
      <c r="H1143" s="15">
        <f t="shared" si="177"/>
        <v>60100</v>
      </c>
      <c r="I1143" s="16">
        <f t="shared" si="178"/>
        <v>11789</v>
      </c>
      <c r="J1143" s="19">
        <f t="shared" si="179"/>
        <v>0.2440231003291176</v>
      </c>
      <c r="K1143" s="95" t="s">
        <v>265</v>
      </c>
      <c r="L1143" s="119">
        <v>54.01</v>
      </c>
      <c r="M1143" s="41">
        <f t="shared" si="180"/>
        <v>44.919</v>
      </c>
      <c r="N1143" s="118">
        <v>60.98</v>
      </c>
      <c r="O1143" s="116"/>
      <c r="P1143" s="116" t="s">
        <v>59</v>
      </c>
      <c r="Q1143" s="117"/>
      <c r="R1143" s="118"/>
      <c r="S1143" s="117"/>
      <c r="T1143" s="116"/>
      <c r="V1143" s="15"/>
      <c r="W1143" s="29"/>
    </row>
    <row r="1144" spans="1:23" s="114" customFormat="1" ht="15">
      <c r="A1144" s="12" t="s">
        <v>59</v>
      </c>
      <c r="B1144" s="65">
        <v>42166.291666666664</v>
      </c>
      <c r="C1144" s="14">
        <v>49.14</v>
      </c>
      <c r="D1144" s="15">
        <v>600</v>
      </c>
      <c r="E1144" s="15">
        <f t="shared" si="176"/>
        <v>29495</v>
      </c>
      <c r="F1144" s="13"/>
      <c r="G1144" s="14">
        <v>60.1</v>
      </c>
      <c r="H1144" s="15">
        <f t="shared" si="177"/>
        <v>36060</v>
      </c>
      <c r="I1144" s="16">
        <f t="shared" si="178"/>
        <v>6565</v>
      </c>
      <c r="J1144" s="19">
        <f t="shared" si="179"/>
        <v>0.22258009832174944</v>
      </c>
      <c r="K1144" s="95" t="s">
        <v>264</v>
      </c>
      <c r="L1144" s="119">
        <v>54.01</v>
      </c>
      <c r="M1144" s="41">
        <f t="shared" si="180"/>
        <v>45.7002</v>
      </c>
      <c r="N1144" s="118">
        <v>60.98</v>
      </c>
      <c r="O1144" s="116"/>
      <c r="P1144" s="116" t="s">
        <v>59</v>
      </c>
      <c r="Q1144" s="117"/>
      <c r="R1144" s="118"/>
      <c r="S1144" s="117"/>
      <c r="T1144" s="116"/>
      <c r="V1144" s="15"/>
      <c r="W1144" s="29"/>
    </row>
    <row r="1145" spans="1:23" s="114" customFormat="1" ht="15">
      <c r="A1145" s="12" t="s">
        <v>59</v>
      </c>
      <c r="B1145" s="65">
        <v>42191.27777777778</v>
      </c>
      <c r="C1145" s="14">
        <v>55.44</v>
      </c>
      <c r="D1145" s="15">
        <v>640</v>
      </c>
      <c r="E1145" s="15">
        <f t="shared" si="176"/>
        <v>35492.6</v>
      </c>
      <c r="F1145" s="13"/>
      <c r="G1145" s="14">
        <v>60.1</v>
      </c>
      <c r="H1145" s="15">
        <f t="shared" si="177"/>
        <v>38464</v>
      </c>
      <c r="I1145" s="16">
        <f t="shared" si="178"/>
        <v>2971.4000000000015</v>
      </c>
      <c r="J1145" s="19">
        <f t="shared" si="179"/>
        <v>0.08371885970596692</v>
      </c>
      <c r="K1145" s="95" t="s">
        <v>281</v>
      </c>
      <c r="L1145" s="119">
        <v>54.01</v>
      </c>
      <c r="M1145" s="41">
        <f t="shared" si="180"/>
        <v>51.559200000000004</v>
      </c>
      <c r="N1145" s="118">
        <v>60.98</v>
      </c>
      <c r="O1145" s="116"/>
      <c r="P1145" s="116" t="s">
        <v>59</v>
      </c>
      <c r="Q1145" s="117"/>
      <c r="R1145" s="118"/>
      <c r="S1145" s="117"/>
      <c r="T1145" s="116"/>
      <c r="V1145" s="15"/>
      <c r="W1145" s="29"/>
    </row>
    <row r="1146" spans="1:23" s="114" customFormat="1" ht="15">
      <c r="A1146" s="12" t="s">
        <v>48</v>
      </c>
      <c r="B1146" s="65">
        <v>42174.53472222222</v>
      </c>
      <c r="C1146" s="14">
        <v>82.6</v>
      </c>
      <c r="D1146" s="15">
        <v>950</v>
      </c>
      <c r="E1146" s="15">
        <f t="shared" si="176"/>
        <v>78481</v>
      </c>
      <c r="F1146" s="13"/>
      <c r="G1146" s="14">
        <v>94.01</v>
      </c>
      <c r="H1146" s="15">
        <f t="shared" si="177"/>
        <v>89309.5</v>
      </c>
      <c r="I1146" s="16">
        <f t="shared" si="178"/>
        <v>10828.5</v>
      </c>
      <c r="J1146" s="19">
        <f t="shared" si="179"/>
        <v>0.1379760706413017</v>
      </c>
      <c r="K1146" s="95" t="s">
        <v>272</v>
      </c>
      <c r="L1146" s="119">
        <v>84.85</v>
      </c>
      <c r="M1146" s="41">
        <f t="shared" si="180"/>
        <v>76.818</v>
      </c>
      <c r="N1146" s="117">
        <v>103.69</v>
      </c>
      <c r="O1146" s="121">
        <v>42230</v>
      </c>
      <c r="P1146" s="116" t="s">
        <v>48</v>
      </c>
      <c r="Q1146" s="117">
        <v>99.24</v>
      </c>
      <c r="R1146" s="118">
        <f>Q1146*0.855</f>
        <v>84.8502</v>
      </c>
      <c r="S1146" s="117">
        <f>1.11*C1146</f>
        <v>91.686</v>
      </c>
      <c r="T1146" s="116"/>
      <c r="V1146" s="15"/>
      <c r="W1146" s="29"/>
    </row>
    <row r="1147" spans="1:23" s="114" customFormat="1" ht="15">
      <c r="A1147" s="12" t="s">
        <v>48</v>
      </c>
      <c r="B1147" s="65">
        <v>42177.37013888889</v>
      </c>
      <c r="C1147" s="14">
        <v>84.55</v>
      </c>
      <c r="D1147" s="15">
        <v>550</v>
      </c>
      <c r="E1147" s="15">
        <f t="shared" si="176"/>
        <v>46513.5</v>
      </c>
      <c r="F1147" s="13"/>
      <c r="G1147" s="14">
        <v>94.01</v>
      </c>
      <c r="H1147" s="15">
        <f t="shared" si="177"/>
        <v>51705.5</v>
      </c>
      <c r="I1147" s="16">
        <f t="shared" si="178"/>
        <v>5192</v>
      </c>
      <c r="J1147" s="19">
        <f t="shared" si="179"/>
        <v>0.11162350715383706</v>
      </c>
      <c r="K1147" s="95" t="s">
        <v>274</v>
      </c>
      <c r="L1147" s="119">
        <v>84.85</v>
      </c>
      <c r="M1147" s="41">
        <f t="shared" si="180"/>
        <v>78.6315</v>
      </c>
      <c r="N1147" s="117">
        <v>103.69</v>
      </c>
      <c r="O1147" s="116"/>
      <c r="P1147" s="116" t="s">
        <v>48</v>
      </c>
      <c r="Q1147" s="117"/>
      <c r="R1147" s="118"/>
      <c r="S1147" s="117"/>
      <c r="T1147" s="116"/>
      <c r="V1147" s="15"/>
      <c r="W1147" s="29"/>
    </row>
    <row r="1148" spans="1:23" s="114" customFormat="1" ht="15">
      <c r="A1148" s="12" t="s">
        <v>48</v>
      </c>
      <c r="B1148" s="65">
        <v>42178.302777777775</v>
      </c>
      <c r="C1148" s="14">
        <v>86.26</v>
      </c>
      <c r="D1148" s="15">
        <v>350</v>
      </c>
      <c r="E1148" s="15">
        <f t="shared" si="176"/>
        <v>30202</v>
      </c>
      <c r="F1148" s="13"/>
      <c r="G1148" s="14">
        <v>94.01</v>
      </c>
      <c r="H1148" s="15">
        <f t="shared" si="177"/>
        <v>32903.5</v>
      </c>
      <c r="I1148" s="16">
        <f t="shared" si="178"/>
        <v>2701.5</v>
      </c>
      <c r="J1148" s="19">
        <f t="shared" si="179"/>
        <v>0.08944771869412621</v>
      </c>
      <c r="K1148" s="95" t="s">
        <v>275</v>
      </c>
      <c r="L1148" s="119">
        <v>84.85</v>
      </c>
      <c r="M1148" s="41">
        <f t="shared" si="180"/>
        <v>80.22180000000002</v>
      </c>
      <c r="N1148" s="117">
        <v>103.69</v>
      </c>
      <c r="O1148" s="116"/>
      <c r="P1148" s="116" t="s">
        <v>48</v>
      </c>
      <c r="Q1148" s="117"/>
      <c r="R1148" s="118"/>
      <c r="S1148" s="117"/>
      <c r="T1148" s="116"/>
      <c r="V1148" s="15"/>
      <c r="W1148" s="29"/>
    </row>
    <row r="1149" spans="1:20" s="114" customFormat="1" ht="15">
      <c r="A1149" s="12" t="s">
        <v>48</v>
      </c>
      <c r="B1149" s="13">
        <v>42202.27291666667</v>
      </c>
      <c r="C1149" s="14">
        <v>93.22</v>
      </c>
      <c r="D1149" s="15">
        <v>370</v>
      </c>
      <c r="E1149" s="15">
        <f t="shared" si="176"/>
        <v>34502.4</v>
      </c>
      <c r="F1149" s="13"/>
      <c r="G1149" s="14">
        <v>94.01</v>
      </c>
      <c r="H1149" s="15">
        <f t="shared" si="177"/>
        <v>34783.700000000004</v>
      </c>
      <c r="I1149" s="16">
        <f t="shared" si="178"/>
        <v>281.3000000000029</v>
      </c>
      <c r="J1149" s="19">
        <f t="shared" si="179"/>
        <v>0.008153056019291496</v>
      </c>
      <c r="K1149" s="95" t="s">
        <v>289</v>
      </c>
      <c r="L1149" s="119"/>
      <c r="M1149" s="20">
        <f t="shared" si="180"/>
        <v>86.69460000000001</v>
      </c>
      <c r="N1149" s="117">
        <v>103.69</v>
      </c>
      <c r="P1149" s="116" t="s">
        <v>48</v>
      </c>
      <c r="Q1149" s="117"/>
      <c r="R1149" s="117"/>
      <c r="S1149" s="117"/>
      <c r="T1149" s="116"/>
    </row>
    <row r="1150" spans="1:20" s="114" customFormat="1" ht="15">
      <c r="A1150" s="12" t="s">
        <v>68</v>
      </c>
      <c r="B1150" s="13">
        <v>42201.29722222222</v>
      </c>
      <c r="C1150" s="14">
        <v>68.35</v>
      </c>
      <c r="D1150" s="15">
        <v>600</v>
      </c>
      <c r="E1150" s="15">
        <f t="shared" si="176"/>
        <v>41021</v>
      </c>
      <c r="F1150" s="13"/>
      <c r="G1150" s="14">
        <v>77.46</v>
      </c>
      <c r="H1150" s="15">
        <f t="shared" si="177"/>
        <v>46475.99999999999</v>
      </c>
      <c r="I1150" s="16">
        <f t="shared" si="178"/>
        <v>5454.999999999993</v>
      </c>
      <c r="J1150" s="19">
        <f t="shared" si="179"/>
        <v>0.13298066843811687</v>
      </c>
      <c r="K1150" s="95" t="s">
        <v>295</v>
      </c>
      <c r="L1150" s="119">
        <v>67.85</v>
      </c>
      <c r="M1150" s="41">
        <f t="shared" si="180"/>
        <v>63.5655</v>
      </c>
      <c r="N1150" s="117">
        <v>86.66</v>
      </c>
      <c r="O1150" s="121">
        <v>42256</v>
      </c>
      <c r="P1150" s="116" t="s">
        <v>68</v>
      </c>
      <c r="Q1150" s="117">
        <v>79.36</v>
      </c>
      <c r="R1150" s="118">
        <f>Q1150*0.855</f>
        <v>67.8528</v>
      </c>
      <c r="S1150" s="117">
        <f>1.11*C1150</f>
        <v>75.8685</v>
      </c>
      <c r="T1150" s="116"/>
    </row>
    <row r="1151" spans="1:20" s="114" customFormat="1" ht="15">
      <c r="A1151" s="12" t="s">
        <v>68</v>
      </c>
      <c r="B1151" s="13">
        <v>42202.285416666666</v>
      </c>
      <c r="C1151" s="14">
        <v>69.54</v>
      </c>
      <c r="D1151" s="15">
        <v>350</v>
      </c>
      <c r="E1151" s="15">
        <f t="shared" si="176"/>
        <v>24350.000000000004</v>
      </c>
      <c r="F1151" s="13"/>
      <c r="G1151" s="14">
        <v>77.46</v>
      </c>
      <c r="H1151" s="15">
        <f t="shared" si="177"/>
        <v>27110.999999999996</v>
      </c>
      <c r="I1151" s="16">
        <f t="shared" si="178"/>
        <v>2760.9999999999927</v>
      </c>
      <c r="J1151" s="19">
        <f t="shared" si="179"/>
        <v>0.11338809034907565</v>
      </c>
      <c r="K1151" s="95" t="s">
        <v>296</v>
      </c>
      <c r="L1151" s="119">
        <v>67.85</v>
      </c>
      <c r="M1151" s="41">
        <f t="shared" si="180"/>
        <v>64.6722</v>
      </c>
      <c r="N1151" s="117">
        <v>86.66</v>
      </c>
      <c r="P1151" s="116" t="s">
        <v>68</v>
      </c>
      <c r="Q1151" s="117"/>
      <c r="R1151" s="117"/>
      <c r="S1151" s="117"/>
      <c r="T1151" s="116"/>
    </row>
    <row r="1152" spans="1:20" s="114" customFormat="1" ht="15">
      <c r="A1152" s="12" t="s">
        <v>68</v>
      </c>
      <c r="B1152" s="13">
        <v>42202.46527777778</v>
      </c>
      <c r="C1152" s="14">
        <v>71.51</v>
      </c>
      <c r="D1152" s="15">
        <v>230</v>
      </c>
      <c r="E1152" s="15">
        <f t="shared" si="176"/>
        <v>16458.300000000003</v>
      </c>
      <c r="F1152" s="13"/>
      <c r="G1152" s="14">
        <v>77.46</v>
      </c>
      <c r="H1152" s="15">
        <f t="shared" si="177"/>
        <v>17815.8</v>
      </c>
      <c r="I1152" s="16">
        <f t="shared" si="178"/>
        <v>1357.4999999999964</v>
      </c>
      <c r="J1152" s="19">
        <f t="shared" si="179"/>
        <v>0.08248117970871816</v>
      </c>
      <c r="K1152" s="95" t="s">
        <v>297</v>
      </c>
      <c r="L1152" s="119">
        <v>67.85</v>
      </c>
      <c r="M1152" s="41">
        <f t="shared" si="180"/>
        <v>66.50430000000001</v>
      </c>
      <c r="N1152" s="117">
        <v>86.66</v>
      </c>
      <c r="P1152" s="116" t="s">
        <v>68</v>
      </c>
      <c r="Q1152" s="117"/>
      <c r="R1152" s="117"/>
      <c r="S1152" s="117"/>
      <c r="T1152" s="116"/>
    </row>
    <row r="1153" spans="1:20" s="114" customFormat="1" ht="15">
      <c r="A1153" s="85" t="s">
        <v>68</v>
      </c>
      <c r="B1153" s="13">
        <v>42215.32430555556</v>
      </c>
      <c r="C1153" s="14">
        <v>76.97</v>
      </c>
      <c r="D1153" s="15">
        <v>240</v>
      </c>
      <c r="E1153" s="15">
        <f t="shared" si="176"/>
        <v>18483.8</v>
      </c>
      <c r="F1153" s="13"/>
      <c r="G1153" s="14">
        <v>77.46</v>
      </c>
      <c r="H1153" s="15">
        <f t="shared" si="177"/>
        <v>18590.399999999998</v>
      </c>
      <c r="I1153" s="16">
        <f t="shared" si="178"/>
        <v>106.59999999999854</v>
      </c>
      <c r="J1153" s="19">
        <f t="shared" si="179"/>
        <v>0.00576721236975073</v>
      </c>
      <c r="K1153" s="95" t="s">
        <v>303</v>
      </c>
      <c r="L1153" s="119"/>
      <c r="M1153" s="20">
        <f t="shared" si="180"/>
        <v>71.5821</v>
      </c>
      <c r="N1153" s="117">
        <v>86.66</v>
      </c>
      <c r="P1153" s="116" t="s">
        <v>68</v>
      </c>
      <c r="Q1153" s="117"/>
      <c r="R1153" s="117"/>
      <c r="S1153" s="117"/>
      <c r="T1153" s="116"/>
    </row>
    <row r="1154" spans="1:20" s="114" customFormat="1" ht="15">
      <c r="A1154" s="12"/>
      <c r="B1154" s="13"/>
      <c r="C1154" s="14"/>
      <c r="D1154" s="15"/>
      <c r="E1154" s="15"/>
      <c r="F1154" s="13"/>
      <c r="G1154" s="14"/>
      <c r="H1154" s="15"/>
      <c r="I1154" s="16"/>
      <c r="J1154" s="19"/>
      <c r="K1154" s="95"/>
      <c r="L1154" s="119"/>
      <c r="M1154" s="32"/>
      <c r="N1154" s="117"/>
      <c r="P1154" s="116"/>
      <c r="Q1154" s="117"/>
      <c r="R1154" s="117"/>
      <c r="S1154" s="117"/>
      <c r="T1154" s="116"/>
    </row>
    <row r="1155" spans="1:20" s="114" customFormat="1" ht="15">
      <c r="A1155" s="21" t="s">
        <v>14</v>
      </c>
      <c r="B1155" s="22"/>
      <c r="C1155" s="23"/>
      <c r="D1155" s="24"/>
      <c r="E1155" s="24">
        <f>SUM(E1118:E1154)</f>
        <v>949961.7000000001</v>
      </c>
      <c r="F1155" s="22"/>
      <c r="G1155" s="23"/>
      <c r="H1155" s="24">
        <f>SUM(H1118:H1154)</f>
        <v>1165472.15</v>
      </c>
      <c r="I1155" s="25">
        <f>SUM(I1118:I1154)</f>
        <v>215510.44999999998</v>
      </c>
      <c r="J1155" s="26">
        <f>I1155/E1155</f>
        <v>0.22686225139392457</v>
      </c>
      <c r="K1155" s="27" t="s">
        <v>15</v>
      </c>
      <c r="L1155" s="28">
        <f>100000+I1157</f>
        <v>482780.86</v>
      </c>
      <c r="M1155" s="81"/>
      <c r="N1155" s="89"/>
      <c r="Q1155" s="117"/>
      <c r="R1155" s="117"/>
      <c r="S1155" s="117"/>
      <c r="T1155" s="116"/>
    </row>
    <row r="1156" spans="1:20" s="114" customFormat="1" ht="15">
      <c r="A1156" s="12" t="s">
        <v>67</v>
      </c>
      <c r="B1156" s="22"/>
      <c r="C1156" s="25">
        <f>I1157-I1113</f>
        <v>44803.00000000006</v>
      </c>
      <c r="D1156" s="26">
        <f>C1156/H1111</f>
        <v>0.04318967766414635</v>
      </c>
      <c r="E1156" s="24"/>
      <c r="F1156" s="22" t="s">
        <v>16</v>
      </c>
      <c r="G1156" s="117"/>
      <c r="H1156" s="29" t="str">
        <f>IF(ABS(H1155-E1155-I1155)&lt;1,"","ERROR")</f>
        <v/>
      </c>
      <c r="I1156" s="16">
        <v>167270.40999999997</v>
      </c>
      <c r="J1156" s="26"/>
      <c r="K1156" s="111" t="s">
        <v>17</v>
      </c>
      <c r="L1156" s="28">
        <f>(2*(100000+I1157))-E1155</f>
        <v>15600.019999999902</v>
      </c>
      <c r="M1156" s="31"/>
      <c r="Q1156" s="117"/>
      <c r="R1156" s="117"/>
      <c r="S1156" s="117"/>
      <c r="T1156" s="116"/>
    </row>
    <row r="1157" spans="1:20" s="114" customFormat="1" ht="15">
      <c r="A1157" s="12" t="s">
        <v>54</v>
      </c>
      <c r="B1157" s="22"/>
      <c r="C1157" s="25">
        <f>L1155-L1111</f>
        <v>44803.00000000006</v>
      </c>
      <c r="D1157" s="26">
        <f>C1157/L1111</f>
        <v>0.10229512514628038</v>
      </c>
      <c r="E1157" s="24"/>
      <c r="F1157" s="22" t="s">
        <v>18</v>
      </c>
      <c r="G1157" s="117"/>
      <c r="H1157" s="29"/>
      <c r="I1157" s="30">
        <f>I1155+I1156</f>
        <v>382780.86</v>
      </c>
      <c r="J1157" s="26">
        <f>I1157/100000</f>
        <v>3.8278086</v>
      </c>
      <c r="K1157" s="111" t="s">
        <v>19</v>
      </c>
      <c r="L1157" s="26">
        <f>E1155/(2*(100000+I1157))</f>
        <v>0.9838435807086471</v>
      </c>
      <c r="M1157" s="31"/>
      <c r="Q1157" s="117"/>
      <c r="R1157" s="117"/>
      <c r="S1157" s="117"/>
      <c r="T1157" s="116"/>
    </row>
    <row r="1158" spans="1:20" s="114" customFormat="1" ht="15">
      <c r="A1158" s="114">
        <v>7</v>
      </c>
      <c r="B1158" s="22"/>
      <c r="C1158" s="25"/>
      <c r="D1158" s="26"/>
      <c r="E1158" s="24"/>
      <c r="F1158" s="22"/>
      <c r="G1158" s="117"/>
      <c r="H1158" s="29"/>
      <c r="I1158" s="30"/>
      <c r="J1158" s="26"/>
      <c r="K1158" s="111"/>
      <c r="L1158" s="26"/>
      <c r="M1158" s="31"/>
      <c r="Q1158" s="117"/>
      <c r="R1158" s="117"/>
      <c r="S1158" s="117"/>
      <c r="T1158" s="116"/>
    </row>
    <row r="1159" spans="2:20" s="114" customFormat="1" ht="15">
      <c r="B1159" s="22"/>
      <c r="C1159" s="25"/>
      <c r="D1159" s="26"/>
      <c r="E1159" s="24"/>
      <c r="F1159" s="22"/>
      <c r="G1159" s="117"/>
      <c r="H1159" s="29"/>
      <c r="I1159" s="30"/>
      <c r="J1159" s="26"/>
      <c r="K1159" s="111"/>
      <c r="L1159" s="26"/>
      <c r="M1159" s="31"/>
      <c r="Q1159" s="117"/>
      <c r="R1159" s="117"/>
      <c r="S1159" s="117"/>
      <c r="T1159" s="116"/>
    </row>
    <row r="1160" spans="1:20" s="114" customFormat="1" ht="30.75" customHeight="1">
      <c r="A1160" s="130" t="s">
        <v>62</v>
      </c>
      <c r="B1160" s="384" t="s">
        <v>304</v>
      </c>
      <c r="C1160" s="384"/>
      <c r="D1160" s="384"/>
      <c r="E1160" s="384"/>
      <c r="F1160" s="384"/>
      <c r="G1160" s="384"/>
      <c r="H1160" s="384"/>
      <c r="I1160" s="384"/>
      <c r="J1160" s="384"/>
      <c r="K1160" s="384"/>
      <c r="L1160" s="384"/>
      <c r="M1160" s="384"/>
      <c r="N1160" s="384"/>
      <c r="O1160" s="92"/>
      <c r="P1160" s="92"/>
      <c r="Q1160" s="104"/>
      <c r="R1160" s="104"/>
      <c r="S1160" s="107"/>
      <c r="T1160" s="109"/>
    </row>
    <row r="1161" spans="1:22" s="114" customFormat="1" ht="15">
      <c r="A1161" s="2" t="s">
        <v>0</v>
      </c>
      <c r="B1161" s="3" t="s">
        <v>1</v>
      </c>
      <c r="C1161" s="4" t="s">
        <v>2</v>
      </c>
      <c r="D1161" s="5" t="s">
        <v>3</v>
      </c>
      <c r="E1161" s="6" t="s">
        <v>4</v>
      </c>
      <c r="F1161" s="3" t="s">
        <v>5</v>
      </c>
      <c r="G1161" s="7" t="s">
        <v>2</v>
      </c>
      <c r="H1161" s="6" t="s">
        <v>6</v>
      </c>
      <c r="I1161" s="6" t="s">
        <v>7</v>
      </c>
      <c r="J1161" s="8" t="s">
        <v>8</v>
      </c>
      <c r="K1161" s="9" t="s">
        <v>9</v>
      </c>
      <c r="L1161" s="10" t="s">
        <v>10</v>
      </c>
      <c r="M1161" s="11" t="s">
        <v>11</v>
      </c>
      <c r="N1161" s="103" t="s">
        <v>53</v>
      </c>
      <c r="O1161" s="105" t="s">
        <v>110</v>
      </c>
      <c r="P1161" s="106" t="s">
        <v>0</v>
      </c>
      <c r="Q1161" s="117" t="s">
        <v>13</v>
      </c>
      <c r="R1161" s="117" t="s">
        <v>70</v>
      </c>
      <c r="S1161" s="111" t="s">
        <v>103</v>
      </c>
      <c r="T1161" s="116" t="s">
        <v>107</v>
      </c>
      <c r="V1161" s="9"/>
    </row>
    <row r="1162" spans="1:22" s="114" customFormat="1" ht="15">
      <c r="A1162" s="12" t="s">
        <v>80</v>
      </c>
      <c r="B1162" s="65">
        <v>42011.30486111111</v>
      </c>
      <c r="C1162" s="14">
        <v>58.02</v>
      </c>
      <c r="D1162" s="15">
        <v>250</v>
      </c>
      <c r="E1162" s="15">
        <f aca="true" t="shared" si="181" ref="E1162:E1192">C1162*D1162+11</f>
        <v>14516</v>
      </c>
      <c r="F1162" s="13"/>
      <c r="G1162" s="14">
        <v>153.9</v>
      </c>
      <c r="H1162" s="15">
        <f aca="true" t="shared" si="182" ref="H1162:H1192">G1162*D1162</f>
        <v>38475</v>
      </c>
      <c r="I1162" s="16">
        <f aca="true" t="shared" si="183" ref="I1162:I1192">H1162-E1162</f>
        <v>23959</v>
      </c>
      <c r="J1162" s="19">
        <f aca="true" t="shared" si="184" ref="J1162:J1192">I1162/E1162</f>
        <v>1.6505235602094241</v>
      </c>
      <c r="K1162" s="141" t="s">
        <v>334</v>
      </c>
      <c r="L1162" s="140" t="s">
        <v>51</v>
      </c>
      <c r="M1162" s="41">
        <f aca="true" t="shared" si="185" ref="M1162:M1192">C1162*0.93</f>
        <v>53.958600000000004</v>
      </c>
      <c r="N1162" s="118">
        <v>77.93</v>
      </c>
      <c r="O1162" s="121">
        <v>42090</v>
      </c>
      <c r="P1162" s="116" t="s">
        <v>80</v>
      </c>
      <c r="Q1162" s="117">
        <v>163.6</v>
      </c>
      <c r="R1162" s="118">
        <f>Q1162*0.855</f>
        <v>139.878</v>
      </c>
      <c r="S1162" s="117">
        <f>1.11*C1162</f>
        <v>64.40220000000001</v>
      </c>
      <c r="T1162" s="116"/>
      <c r="U1162" s="117"/>
      <c r="V1162" s="15"/>
    </row>
    <row r="1163" spans="1:22" s="114" customFormat="1" ht="15">
      <c r="A1163" s="12" t="s">
        <v>80</v>
      </c>
      <c r="B1163" s="65">
        <v>42011.40694444445</v>
      </c>
      <c r="C1163" s="14">
        <v>59.16</v>
      </c>
      <c r="D1163" s="15">
        <v>150</v>
      </c>
      <c r="E1163" s="15">
        <f t="shared" si="181"/>
        <v>8885</v>
      </c>
      <c r="F1163" s="13"/>
      <c r="G1163" s="14">
        <v>153.9</v>
      </c>
      <c r="H1163" s="15">
        <f t="shared" si="182"/>
        <v>23085</v>
      </c>
      <c r="I1163" s="16">
        <f t="shared" si="183"/>
        <v>14200</v>
      </c>
      <c r="J1163" s="122">
        <f t="shared" si="184"/>
        <v>1.598199212155318</v>
      </c>
      <c r="K1163" s="95" t="s">
        <v>82</v>
      </c>
      <c r="L1163" s="140" t="s">
        <v>51</v>
      </c>
      <c r="M1163" s="41">
        <f t="shared" si="185"/>
        <v>55.0188</v>
      </c>
      <c r="N1163" s="118">
        <v>77.93</v>
      </c>
      <c r="O1163" s="116"/>
      <c r="P1163" s="116" t="s">
        <v>80</v>
      </c>
      <c r="Q1163" s="117"/>
      <c r="R1163" s="118"/>
      <c r="S1163" s="117"/>
      <c r="T1163" s="116"/>
      <c r="V1163" s="15"/>
    </row>
    <row r="1164" spans="1:22" s="114" customFormat="1" ht="15">
      <c r="A1164" s="12" t="s">
        <v>80</v>
      </c>
      <c r="B1164" s="65">
        <v>42012.29305555556</v>
      </c>
      <c r="C1164" s="14">
        <v>60.3</v>
      </c>
      <c r="D1164" s="15">
        <v>100</v>
      </c>
      <c r="E1164" s="15">
        <f t="shared" si="181"/>
        <v>6041</v>
      </c>
      <c r="F1164" s="13"/>
      <c r="G1164" s="14">
        <v>153.9</v>
      </c>
      <c r="H1164" s="15">
        <f t="shared" si="182"/>
        <v>15390</v>
      </c>
      <c r="I1164" s="16">
        <f t="shared" si="183"/>
        <v>9349</v>
      </c>
      <c r="J1164" s="19">
        <f t="shared" si="184"/>
        <v>1.5475914583678199</v>
      </c>
      <c r="K1164" s="95" t="s">
        <v>83</v>
      </c>
      <c r="L1164" s="140" t="s">
        <v>51</v>
      </c>
      <c r="M1164" s="41">
        <f t="shared" si="185"/>
        <v>56.079</v>
      </c>
      <c r="N1164" s="118">
        <v>77.93</v>
      </c>
      <c r="O1164" s="116"/>
      <c r="P1164" s="116" t="s">
        <v>80</v>
      </c>
      <c r="Q1164" s="117"/>
      <c r="R1164" s="118"/>
      <c r="S1164" s="117"/>
      <c r="T1164" s="116"/>
      <c r="V1164" s="15"/>
    </row>
    <row r="1165" spans="1:22" s="114" customFormat="1" ht="15">
      <c r="A1165" s="12" t="s">
        <v>80</v>
      </c>
      <c r="B1165" s="65">
        <v>42047.271527777775</v>
      </c>
      <c r="C1165" s="14">
        <v>64.65</v>
      </c>
      <c r="D1165" s="15">
        <v>100</v>
      </c>
      <c r="E1165" s="15">
        <f t="shared" si="181"/>
        <v>6476.000000000001</v>
      </c>
      <c r="F1165" s="13"/>
      <c r="G1165" s="14">
        <v>153.9</v>
      </c>
      <c r="H1165" s="15">
        <f t="shared" si="182"/>
        <v>15390</v>
      </c>
      <c r="I1165" s="16">
        <f t="shared" si="183"/>
        <v>8914</v>
      </c>
      <c r="J1165" s="19">
        <f t="shared" si="184"/>
        <v>1.3764669549104382</v>
      </c>
      <c r="K1165" s="95" t="s">
        <v>132</v>
      </c>
      <c r="L1165" s="140" t="s">
        <v>51</v>
      </c>
      <c r="M1165" s="41">
        <f t="shared" si="185"/>
        <v>60.12450000000001</v>
      </c>
      <c r="N1165" s="118">
        <v>77.93</v>
      </c>
      <c r="O1165" s="116"/>
      <c r="P1165" s="116" t="s">
        <v>80</v>
      </c>
      <c r="Q1165" s="117"/>
      <c r="R1165" s="118"/>
      <c r="S1165" s="117"/>
      <c r="T1165" s="116"/>
      <c r="V1165" s="15"/>
    </row>
    <row r="1166" spans="1:22" s="114" customFormat="1" ht="15">
      <c r="A1166" s="12" t="s">
        <v>80</v>
      </c>
      <c r="B1166" s="65">
        <v>42081.34097222222</v>
      </c>
      <c r="C1166" s="14">
        <v>70</v>
      </c>
      <c r="D1166" s="15">
        <v>120</v>
      </c>
      <c r="E1166" s="15">
        <f t="shared" si="181"/>
        <v>8411</v>
      </c>
      <c r="F1166" s="13"/>
      <c r="G1166" s="14">
        <v>153.9</v>
      </c>
      <c r="H1166" s="15">
        <f t="shared" si="182"/>
        <v>18468</v>
      </c>
      <c r="I1166" s="16">
        <f t="shared" si="183"/>
        <v>10057</v>
      </c>
      <c r="J1166" s="19">
        <f t="shared" si="184"/>
        <v>1.1956961122339793</v>
      </c>
      <c r="K1166" s="95" t="s">
        <v>181</v>
      </c>
      <c r="L1166" s="140" t="s">
        <v>51</v>
      </c>
      <c r="M1166" s="41">
        <f t="shared" si="185"/>
        <v>65.10000000000001</v>
      </c>
      <c r="N1166" s="118">
        <v>77.93</v>
      </c>
      <c r="O1166" s="116"/>
      <c r="P1166" s="116" t="s">
        <v>80</v>
      </c>
      <c r="Q1166" s="117"/>
      <c r="R1166" s="118"/>
      <c r="S1166" s="117"/>
      <c r="T1166" s="116"/>
      <c r="V1166" s="15"/>
    </row>
    <row r="1167" spans="1:22" s="114" customFormat="1" ht="15">
      <c r="A1167" s="12" t="s">
        <v>80</v>
      </c>
      <c r="B1167" s="65">
        <v>42117.55694444444</v>
      </c>
      <c r="C1167" s="14">
        <v>77.75</v>
      </c>
      <c r="D1167" s="15">
        <v>150</v>
      </c>
      <c r="E1167" s="15">
        <f t="shared" si="181"/>
        <v>11673.5</v>
      </c>
      <c r="F1167" s="13"/>
      <c r="G1167" s="14">
        <v>153.9</v>
      </c>
      <c r="H1167" s="15">
        <f t="shared" si="182"/>
        <v>23085</v>
      </c>
      <c r="I1167" s="16">
        <f t="shared" si="183"/>
        <v>11411.5</v>
      </c>
      <c r="J1167" s="19">
        <f t="shared" si="184"/>
        <v>0.9775560029125798</v>
      </c>
      <c r="K1167" s="95" t="s">
        <v>233</v>
      </c>
      <c r="L1167" s="140" t="s">
        <v>51</v>
      </c>
      <c r="M1167" s="41">
        <f t="shared" si="185"/>
        <v>72.3075</v>
      </c>
      <c r="N1167" s="118">
        <v>77.93</v>
      </c>
      <c r="O1167" s="116"/>
      <c r="P1167" s="116" t="s">
        <v>80</v>
      </c>
      <c r="Q1167" s="117"/>
      <c r="R1167" s="118"/>
      <c r="S1167" s="117"/>
      <c r="T1167" s="116"/>
      <c r="V1167" s="15"/>
    </row>
    <row r="1168" spans="1:23" s="114" customFormat="1" ht="15">
      <c r="A1168" s="12" t="s">
        <v>80</v>
      </c>
      <c r="B1168" s="65">
        <v>42128.525</v>
      </c>
      <c r="C1168" s="14">
        <v>93.09</v>
      </c>
      <c r="D1168" s="15">
        <v>180</v>
      </c>
      <c r="E1168" s="15">
        <f t="shared" si="181"/>
        <v>16767.2</v>
      </c>
      <c r="F1168" s="13"/>
      <c r="G1168" s="14">
        <v>153.9</v>
      </c>
      <c r="H1168" s="15">
        <f t="shared" si="182"/>
        <v>27702</v>
      </c>
      <c r="I1168" s="16">
        <f t="shared" si="183"/>
        <v>10934.8</v>
      </c>
      <c r="J1168" s="19">
        <f t="shared" si="184"/>
        <v>0.6521542058304308</v>
      </c>
      <c r="K1168" s="95" t="s">
        <v>244</v>
      </c>
      <c r="L1168" s="140" t="s">
        <v>51</v>
      </c>
      <c r="M1168" s="41">
        <f t="shared" si="185"/>
        <v>86.5737</v>
      </c>
      <c r="N1168" s="118">
        <v>77.93</v>
      </c>
      <c r="O1168" s="116"/>
      <c r="P1168" s="116" t="s">
        <v>80</v>
      </c>
      <c r="Q1168" s="117"/>
      <c r="R1168" s="118"/>
      <c r="S1168" s="117"/>
      <c r="T1168" s="116"/>
      <c r="V1168" s="15"/>
      <c r="W1168" s="29"/>
    </row>
    <row r="1169" spans="1:23" s="114" customFormat="1" ht="15">
      <c r="A1169" s="12" t="s">
        <v>80</v>
      </c>
      <c r="B1169" s="65">
        <v>42186.37847222222</v>
      </c>
      <c r="C1169" s="14">
        <v>111.51</v>
      </c>
      <c r="D1169" s="15">
        <v>210</v>
      </c>
      <c r="E1169" s="15">
        <f t="shared" si="181"/>
        <v>23428.100000000002</v>
      </c>
      <c r="F1169" s="13"/>
      <c r="G1169" s="14">
        <v>153.9</v>
      </c>
      <c r="H1169" s="15">
        <f t="shared" si="182"/>
        <v>32319</v>
      </c>
      <c r="I1169" s="16">
        <f t="shared" si="183"/>
        <v>8890.899999999998</v>
      </c>
      <c r="J1169" s="19">
        <f t="shared" si="184"/>
        <v>0.37949727037190367</v>
      </c>
      <c r="K1169" s="95" t="s">
        <v>277</v>
      </c>
      <c r="L1169" s="140" t="s">
        <v>51</v>
      </c>
      <c r="M1169" s="41">
        <f t="shared" si="185"/>
        <v>103.7043</v>
      </c>
      <c r="N1169" s="118">
        <v>77.93</v>
      </c>
      <c r="O1169" s="116"/>
      <c r="P1169" s="116" t="s">
        <v>80</v>
      </c>
      <c r="Q1169" s="117"/>
      <c r="R1169" s="118"/>
      <c r="S1169" s="117"/>
      <c r="T1169" s="116"/>
      <c r="V1169" s="15"/>
      <c r="W1169" s="29"/>
    </row>
    <row r="1170" spans="1:23" s="114" customFormat="1" ht="15">
      <c r="A1170" s="12" t="s">
        <v>80</v>
      </c>
      <c r="B1170" s="65">
        <v>42207.52222222222</v>
      </c>
      <c r="C1170" s="14">
        <v>125.19</v>
      </c>
      <c r="D1170" s="15">
        <v>250</v>
      </c>
      <c r="E1170" s="15">
        <f t="shared" si="181"/>
        <v>31308.5</v>
      </c>
      <c r="F1170" s="13"/>
      <c r="G1170" s="14">
        <v>153.9</v>
      </c>
      <c r="H1170" s="15">
        <f t="shared" si="182"/>
        <v>38475</v>
      </c>
      <c r="I1170" s="16">
        <f t="shared" si="183"/>
        <v>7166.5</v>
      </c>
      <c r="J1170" s="19">
        <f t="shared" si="184"/>
        <v>0.2288995001357459</v>
      </c>
      <c r="K1170" s="95" t="s">
        <v>299</v>
      </c>
      <c r="L1170" s="97">
        <v>139</v>
      </c>
      <c r="M1170" s="41">
        <f t="shared" si="185"/>
        <v>116.42670000000001</v>
      </c>
      <c r="N1170" s="118">
        <v>77.93</v>
      </c>
      <c r="O1170" s="116"/>
      <c r="P1170" s="116" t="s">
        <v>80</v>
      </c>
      <c r="Q1170" s="117"/>
      <c r="R1170" s="118"/>
      <c r="S1170" s="117"/>
      <c r="T1170" s="116"/>
      <c r="V1170" s="15"/>
      <c r="W1170" s="29"/>
    </row>
    <row r="1171" spans="1:23" s="114" customFormat="1" ht="15">
      <c r="A1171" s="12" t="s">
        <v>80</v>
      </c>
      <c r="B1171" s="65">
        <v>42215.28888888889</v>
      </c>
      <c r="C1171" s="14">
        <v>143.4</v>
      </c>
      <c r="D1171" s="15">
        <v>300</v>
      </c>
      <c r="E1171" s="15">
        <f t="shared" si="181"/>
        <v>43031</v>
      </c>
      <c r="F1171" s="13"/>
      <c r="G1171" s="14">
        <v>153.9</v>
      </c>
      <c r="H1171" s="15">
        <f t="shared" si="182"/>
        <v>46170</v>
      </c>
      <c r="I1171" s="16">
        <f t="shared" si="183"/>
        <v>3139</v>
      </c>
      <c r="J1171" s="19">
        <f t="shared" si="184"/>
        <v>0.07294741000673932</v>
      </c>
      <c r="K1171" s="95" t="s">
        <v>302</v>
      </c>
      <c r="L1171" s="97">
        <v>139</v>
      </c>
      <c r="M1171" s="41">
        <f t="shared" si="185"/>
        <v>133.36200000000002</v>
      </c>
      <c r="N1171" s="118">
        <v>77.93</v>
      </c>
      <c r="O1171" s="116"/>
      <c r="P1171" s="116" t="s">
        <v>80</v>
      </c>
      <c r="Q1171" s="117"/>
      <c r="R1171" s="118"/>
      <c r="S1171" s="117"/>
      <c r="T1171" s="116"/>
      <c r="V1171" s="15"/>
      <c r="W1171" s="29"/>
    </row>
    <row r="1172" spans="1:22" s="114" customFormat="1" ht="15">
      <c r="A1172" s="12" t="s">
        <v>208</v>
      </c>
      <c r="B1172" s="65">
        <v>42090.308333333334</v>
      </c>
      <c r="C1172" s="14">
        <v>214</v>
      </c>
      <c r="D1172" s="15">
        <v>95</v>
      </c>
      <c r="E1172" s="15">
        <f t="shared" si="181"/>
        <v>20341</v>
      </c>
      <c r="F1172" s="13"/>
      <c r="G1172" s="14">
        <v>244.46</v>
      </c>
      <c r="H1172" s="15">
        <f t="shared" si="182"/>
        <v>23223.7</v>
      </c>
      <c r="I1172" s="16">
        <f t="shared" si="183"/>
        <v>2882.7000000000007</v>
      </c>
      <c r="J1172" s="19">
        <f t="shared" si="184"/>
        <v>0.14171869622929062</v>
      </c>
      <c r="K1172" s="95" t="s">
        <v>212</v>
      </c>
      <c r="L1172" s="119">
        <v>211.19</v>
      </c>
      <c r="M1172" s="41">
        <f t="shared" si="185"/>
        <v>199.02</v>
      </c>
      <c r="N1172" s="118">
        <v>267.7</v>
      </c>
      <c r="O1172" s="121">
        <v>42136</v>
      </c>
      <c r="P1172" s="116" t="s">
        <v>208</v>
      </c>
      <c r="Q1172" s="117">
        <v>247</v>
      </c>
      <c r="R1172" s="118">
        <f>Q1172*0.855</f>
        <v>211.185</v>
      </c>
      <c r="S1172" s="117">
        <f>1.11*C1172</f>
        <v>237.54000000000002</v>
      </c>
      <c r="T1172" s="116"/>
      <c r="U1172" s="117"/>
      <c r="V1172" s="15"/>
    </row>
    <row r="1173" spans="1:22" s="114" customFormat="1" ht="15">
      <c r="A1173" s="12" t="s">
        <v>208</v>
      </c>
      <c r="B1173" s="65">
        <v>42093.29305555556</v>
      </c>
      <c r="C1173" s="14">
        <v>219.41</v>
      </c>
      <c r="D1173" s="15">
        <v>55</v>
      </c>
      <c r="E1173" s="15">
        <f t="shared" si="181"/>
        <v>12078.55</v>
      </c>
      <c r="F1173" s="13"/>
      <c r="G1173" s="14">
        <v>244.46</v>
      </c>
      <c r="H1173" s="15">
        <f t="shared" si="182"/>
        <v>13445.300000000001</v>
      </c>
      <c r="I1173" s="16">
        <f t="shared" si="183"/>
        <v>1366.7500000000018</v>
      </c>
      <c r="J1173" s="19">
        <f t="shared" si="184"/>
        <v>0.11315513865488837</v>
      </c>
      <c r="K1173" s="95" t="s">
        <v>211</v>
      </c>
      <c r="L1173" s="119">
        <v>211.19</v>
      </c>
      <c r="M1173" s="41">
        <f t="shared" si="185"/>
        <v>204.0513</v>
      </c>
      <c r="N1173" s="118">
        <v>267.7</v>
      </c>
      <c r="O1173" s="116"/>
      <c r="P1173" s="116" t="s">
        <v>208</v>
      </c>
      <c r="Q1173" s="117"/>
      <c r="R1173" s="118"/>
      <c r="S1173" s="117"/>
      <c r="T1173" s="116"/>
      <c r="V1173" s="15"/>
    </row>
    <row r="1174" spans="1:23" s="114" customFormat="1" ht="15">
      <c r="A1174" s="12" t="s">
        <v>208</v>
      </c>
      <c r="B1174" s="65">
        <v>42117.27569444444</v>
      </c>
      <c r="C1174" s="14">
        <v>226.35</v>
      </c>
      <c r="D1174" s="15">
        <v>35</v>
      </c>
      <c r="E1174" s="15">
        <f t="shared" si="181"/>
        <v>7933.25</v>
      </c>
      <c r="F1174" s="13"/>
      <c r="G1174" s="14">
        <v>244.46</v>
      </c>
      <c r="H1174" s="15">
        <f t="shared" si="182"/>
        <v>8556.1</v>
      </c>
      <c r="I1174" s="16">
        <f t="shared" si="183"/>
        <v>622.8500000000004</v>
      </c>
      <c r="J1174" s="19">
        <f t="shared" si="184"/>
        <v>0.07851132890051371</v>
      </c>
      <c r="K1174" s="95" t="s">
        <v>236</v>
      </c>
      <c r="L1174" s="119">
        <v>211.19</v>
      </c>
      <c r="M1174" s="41">
        <f t="shared" si="185"/>
        <v>210.5055</v>
      </c>
      <c r="N1174" s="118">
        <v>267.7</v>
      </c>
      <c r="O1174" s="116"/>
      <c r="P1174" s="116" t="s">
        <v>208</v>
      </c>
      <c r="Q1174" s="117"/>
      <c r="R1174" s="118"/>
      <c r="S1174" s="117"/>
      <c r="T1174" s="116"/>
      <c r="V1174" s="15"/>
      <c r="W1174" s="29"/>
    </row>
    <row r="1175" spans="1:23" s="114" customFormat="1" ht="15">
      <c r="A1175" s="12" t="s">
        <v>59</v>
      </c>
      <c r="B1175" s="65">
        <v>42164.36944444444</v>
      </c>
      <c r="C1175" s="14">
        <v>47.25</v>
      </c>
      <c r="D1175" s="15">
        <v>1600</v>
      </c>
      <c r="E1175" s="15">
        <f t="shared" si="181"/>
        <v>75611</v>
      </c>
      <c r="F1175" s="13"/>
      <c r="G1175" s="14">
        <v>59.11</v>
      </c>
      <c r="H1175" s="15">
        <f t="shared" si="182"/>
        <v>94576</v>
      </c>
      <c r="I1175" s="16">
        <f t="shared" si="183"/>
        <v>18965</v>
      </c>
      <c r="J1175" s="19">
        <f t="shared" si="184"/>
        <v>0.2508232929071167</v>
      </c>
      <c r="K1175" s="95" t="s">
        <v>288</v>
      </c>
      <c r="L1175" s="119">
        <v>54.01</v>
      </c>
      <c r="M1175" s="41">
        <f t="shared" si="185"/>
        <v>43.9425</v>
      </c>
      <c r="N1175" s="118">
        <v>60.98</v>
      </c>
      <c r="O1175" s="121">
        <v>42223</v>
      </c>
      <c r="P1175" s="116" t="s">
        <v>59</v>
      </c>
      <c r="Q1175" s="117">
        <v>63.17</v>
      </c>
      <c r="R1175" s="118">
        <f>Q1175*0.855</f>
        <v>54.01035</v>
      </c>
      <c r="S1175" s="117">
        <f>1.11*C1175</f>
        <v>52.447500000000005</v>
      </c>
      <c r="T1175" s="116"/>
      <c r="V1175" s="15"/>
      <c r="W1175" s="29"/>
    </row>
    <row r="1176" spans="1:23" s="114" customFormat="1" ht="15">
      <c r="A1176" s="12" t="s">
        <v>59</v>
      </c>
      <c r="B1176" s="65">
        <v>42164.478472222225</v>
      </c>
      <c r="C1176" s="14">
        <v>48.3</v>
      </c>
      <c r="D1176" s="15">
        <v>1000</v>
      </c>
      <c r="E1176" s="15">
        <f t="shared" si="181"/>
        <v>48311</v>
      </c>
      <c r="F1176" s="13"/>
      <c r="G1176" s="14">
        <v>59.11</v>
      </c>
      <c r="H1176" s="15">
        <f t="shared" si="182"/>
        <v>59110</v>
      </c>
      <c r="I1176" s="16">
        <f t="shared" si="183"/>
        <v>10799</v>
      </c>
      <c r="J1176" s="19">
        <f t="shared" si="184"/>
        <v>0.2235308728860922</v>
      </c>
      <c r="K1176" s="95" t="s">
        <v>265</v>
      </c>
      <c r="L1176" s="119">
        <v>54.01</v>
      </c>
      <c r="M1176" s="41">
        <f t="shared" si="185"/>
        <v>44.919</v>
      </c>
      <c r="N1176" s="118">
        <v>60.98</v>
      </c>
      <c r="O1176" s="116"/>
      <c r="P1176" s="116" t="s">
        <v>59</v>
      </c>
      <c r="Q1176" s="117"/>
      <c r="R1176" s="118"/>
      <c r="S1176" s="117"/>
      <c r="T1176" s="116"/>
      <c r="V1176" s="15"/>
      <c r="W1176" s="29"/>
    </row>
    <row r="1177" spans="1:23" s="114" customFormat="1" ht="15">
      <c r="A1177" s="12" t="s">
        <v>59</v>
      </c>
      <c r="B1177" s="65">
        <v>42166.291666666664</v>
      </c>
      <c r="C1177" s="14">
        <v>49.14</v>
      </c>
      <c r="D1177" s="15">
        <v>600</v>
      </c>
      <c r="E1177" s="15">
        <f t="shared" si="181"/>
        <v>29495</v>
      </c>
      <c r="F1177" s="13"/>
      <c r="G1177" s="14">
        <v>59.11</v>
      </c>
      <c r="H1177" s="15">
        <f t="shared" si="182"/>
        <v>35466</v>
      </c>
      <c r="I1177" s="16">
        <f t="shared" si="183"/>
        <v>5971</v>
      </c>
      <c r="J1177" s="19">
        <f t="shared" si="184"/>
        <v>0.2024410917104594</v>
      </c>
      <c r="K1177" s="95" t="s">
        <v>264</v>
      </c>
      <c r="L1177" s="119">
        <v>54.01</v>
      </c>
      <c r="M1177" s="41">
        <f t="shared" si="185"/>
        <v>45.7002</v>
      </c>
      <c r="N1177" s="118">
        <v>60.98</v>
      </c>
      <c r="O1177" s="116"/>
      <c r="P1177" s="116" t="s">
        <v>59</v>
      </c>
      <c r="Q1177" s="117"/>
      <c r="R1177" s="118"/>
      <c r="S1177" s="117"/>
      <c r="T1177" s="116"/>
      <c r="V1177" s="15"/>
      <c r="W1177" s="29"/>
    </row>
    <row r="1178" spans="1:23" s="114" customFormat="1" ht="15">
      <c r="A1178" s="12" t="s">
        <v>59</v>
      </c>
      <c r="B1178" s="65">
        <v>42191.27777777778</v>
      </c>
      <c r="C1178" s="14">
        <v>55.44</v>
      </c>
      <c r="D1178" s="15">
        <v>640</v>
      </c>
      <c r="E1178" s="15">
        <f t="shared" si="181"/>
        <v>35492.6</v>
      </c>
      <c r="F1178" s="13"/>
      <c r="G1178" s="14">
        <v>59.11</v>
      </c>
      <c r="H1178" s="15">
        <f t="shared" si="182"/>
        <v>37830.4</v>
      </c>
      <c r="I1178" s="16">
        <f t="shared" si="183"/>
        <v>2337.800000000003</v>
      </c>
      <c r="J1178" s="19">
        <f t="shared" si="184"/>
        <v>0.06586725120165902</v>
      </c>
      <c r="K1178" s="95" t="s">
        <v>281</v>
      </c>
      <c r="L1178" s="119">
        <v>54.01</v>
      </c>
      <c r="M1178" s="41">
        <f t="shared" si="185"/>
        <v>51.559200000000004</v>
      </c>
      <c r="N1178" s="118">
        <v>60.98</v>
      </c>
      <c r="O1178" s="116"/>
      <c r="P1178" s="116" t="s">
        <v>59</v>
      </c>
      <c r="Q1178" s="117"/>
      <c r="R1178" s="118"/>
      <c r="S1178" s="117"/>
      <c r="T1178" s="116"/>
      <c r="V1178" s="15"/>
      <c r="W1178" s="29"/>
    </row>
    <row r="1179" spans="1:23" s="114" customFormat="1" ht="15">
      <c r="A1179" s="85" t="s">
        <v>59</v>
      </c>
      <c r="B1179" s="65">
        <v>42222.49236111111</v>
      </c>
      <c r="C1179" s="14">
        <v>58.18</v>
      </c>
      <c r="D1179" s="15">
        <v>770</v>
      </c>
      <c r="E1179" s="15">
        <f t="shared" si="181"/>
        <v>44809.6</v>
      </c>
      <c r="F1179" s="13"/>
      <c r="G1179" s="14">
        <v>59.11</v>
      </c>
      <c r="H1179" s="15">
        <f t="shared" si="182"/>
        <v>45514.7</v>
      </c>
      <c r="I1179" s="16">
        <f t="shared" si="183"/>
        <v>705.0999999999985</v>
      </c>
      <c r="J1179" s="19">
        <f t="shared" si="184"/>
        <v>0.01573546739984286</v>
      </c>
      <c r="K1179" s="95" t="s">
        <v>311</v>
      </c>
      <c r="L1179" s="119"/>
      <c r="M1179" s="20">
        <f t="shared" si="185"/>
        <v>54.107400000000005</v>
      </c>
      <c r="N1179" s="118">
        <v>60.98</v>
      </c>
      <c r="O1179" s="116"/>
      <c r="P1179" s="116" t="s">
        <v>59</v>
      </c>
      <c r="Q1179" s="117"/>
      <c r="R1179" s="118"/>
      <c r="S1179" s="117"/>
      <c r="T1179" s="116"/>
      <c r="V1179" s="15"/>
      <c r="W1179" s="29"/>
    </row>
    <row r="1180" spans="1:23" s="114" customFormat="1" ht="15">
      <c r="A1180" s="12" t="s">
        <v>48</v>
      </c>
      <c r="B1180" s="65">
        <v>42174.53472222222</v>
      </c>
      <c r="C1180" s="14">
        <v>82.6</v>
      </c>
      <c r="D1180" s="15">
        <v>950</v>
      </c>
      <c r="E1180" s="15">
        <f t="shared" si="181"/>
        <v>78481</v>
      </c>
      <c r="F1180" s="13"/>
      <c r="G1180" s="14">
        <v>94.3</v>
      </c>
      <c r="H1180" s="15">
        <f t="shared" si="182"/>
        <v>89585</v>
      </c>
      <c r="I1180" s="16">
        <f t="shared" si="183"/>
        <v>11104</v>
      </c>
      <c r="J1180" s="19">
        <f t="shared" si="184"/>
        <v>0.14148647443330234</v>
      </c>
      <c r="K1180" s="95" t="s">
        <v>272</v>
      </c>
      <c r="L1180" s="119">
        <v>84.85</v>
      </c>
      <c r="M1180" s="41">
        <f t="shared" si="185"/>
        <v>76.818</v>
      </c>
      <c r="N1180" s="117">
        <v>103.69</v>
      </c>
      <c r="O1180" s="121">
        <v>42230</v>
      </c>
      <c r="P1180" s="116" t="s">
        <v>48</v>
      </c>
      <c r="Q1180" s="117">
        <v>99.24</v>
      </c>
      <c r="R1180" s="118">
        <f>Q1180*0.855</f>
        <v>84.8502</v>
      </c>
      <c r="S1180" s="117">
        <f>1.11*C1180</f>
        <v>91.686</v>
      </c>
      <c r="T1180" s="116"/>
      <c r="V1180" s="15"/>
      <c r="W1180" s="29"/>
    </row>
    <row r="1181" spans="1:23" s="114" customFormat="1" ht="15">
      <c r="A1181" s="12" t="s">
        <v>48</v>
      </c>
      <c r="B1181" s="65">
        <v>42177.37013888889</v>
      </c>
      <c r="C1181" s="14">
        <v>84.55</v>
      </c>
      <c r="D1181" s="15">
        <v>550</v>
      </c>
      <c r="E1181" s="15">
        <f t="shared" si="181"/>
        <v>46513.5</v>
      </c>
      <c r="F1181" s="13"/>
      <c r="G1181" s="14">
        <v>94.3</v>
      </c>
      <c r="H1181" s="15">
        <f t="shared" si="182"/>
        <v>51865</v>
      </c>
      <c r="I1181" s="16">
        <f t="shared" si="183"/>
        <v>5351.5</v>
      </c>
      <c r="J1181" s="19">
        <f t="shared" si="184"/>
        <v>0.11505261913207994</v>
      </c>
      <c r="K1181" s="95" t="s">
        <v>274</v>
      </c>
      <c r="L1181" s="119">
        <v>84.85</v>
      </c>
      <c r="M1181" s="41">
        <f t="shared" si="185"/>
        <v>78.6315</v>
      </c>
      <c r="N1181" s="117">
        <v>103.69</v>
      </c>
      <c r="O1181" s="116"/>
      <c r="P1181" s="116" t="s">
        <v>48</v>
      </c>
      <c r="Q1181" s="117"/>
      <c r="R1181" s="118"/>
      <c r="S1181" s="117"/>
      <c r="T1181" s="116"/>
      <c r="V1181" s="15"/>
      <c r="W1181" s="29"/>
    </row>
    <row r="1182" spans="1:23" s="114" customFormat="1" ht="15">
      <c r="A1182" s="12" t="s">
        <v>48</v>
      </c>
      <c r="B1182" s="65">
        <v>42178.302777777775</v>
      </c>
      <c r="C1182" s="14">
        <v>86.26</v>
      </c>
      <c r="D1182" s="15">
        <v>350</v>
      </c>
      <c r="E1182" s="15">
        <f t="shared" si="181"/>
        <v>30202</v>
      </c>
      <c r="F1182" s="13"/>
      <c r="G1182" s="14">
        <v>94.3</v>
      </c>
      <c r="H1182" s="15">
        <f t="shared" si="182"/>
        <v>33005</v>
      </c>
      <c r="I1182" s="16">
        <f t="shared" si="183"/>
        <v>2803</v>
      </c>
      <c r="J1182" s="19">
        <f t="shared" si="184"/>
        <v>0.09280842328322628</v>
      </c>
      <c r="K1182" s="95" t="s">
        <v>275</v>
      </c>
      <c r="L1182" s="119">
        <v>84.85</v>
      </c>
      <c r="M1182" s="41">
        <f t="shared" si="185"/>
        <v>80.22180000000002</v>
      </c>
      <c r="N1182" s="117">
        <v>103.69</v>
      </c>
      <c r="O1182" s="116"/>
      <c r="P1182" s="116" t="s">
        <v>48</v>
      </c>
      <c r="Q1182" s="117"/>
      <c r="R1182" s="118"/>
      <c r="S1182" s="117"/>
      <c r="T1182" s="116"/>
      <c r="V1182" s="15"/>
      <c r="W1182" s="29"/>
    </row>
    <row r="1183" spans="1:20" s="114" customFormat="1" ht="15">
      <c r="A1183" s="12" t="s">
        <v>48</v>
      </c>
      <c r="B1183" s="13">
        <v>42202.27291666667</v>
      </c>
      <c r="C1183" s="14">
        <v>93.22</v>
      </c>
      <c r="D1183" s="15">
        <v>370</v>
      </c>
      <c r="E1183" s="15">
        <f t="shared" si="181"/>
        <v>34502.4</v>
      </c>
      <c r="F1183" s="13"/>
      <c r="G1183" s="14">
        <v>94.3</v>
      </c>
      <c r="H1183" s="15">
        <f t="shared" si="182"/>
        <v>34891</v>
      </c>
      <c r="I1183" s="16">
        <f t="shared" si="183"/>
        <v>388.59999999999854</v>
      </c>
      <c r="J1183" s="19">
        <f t="shared" si="184"/>
        <v>0.011262984603969536</v>
      </c>
      <c r="K1183" s="95" t="s">
        <v>289</v>
      </c>
      <c r="L1183" s="119"/>
      <c r="M1183" s="20">
        <f t="shared" si="185"/>
        <v>86.69460000000001</v>
      </c>
      <c r="N1183" s="117">
        <v>103.69</v>
      </c>
      <c r="P1183" s="116" t="s">
        <v>48</v>
      </c>
      <c r="Q1183" s="117"/>
      <c r="R1183" s="117"/>
      <c r="S1183" s="117"/>
      <c r="T1183" s="116"/>
    </row>
    <row r="1184" spans="1:20" s="114" customFormat="1" ht="15">
      <c r="A1184" s="12" t="s">
        <v>68</v>
      </c>
      <c r="B1184" s="13">
        <v>42201.29722222222</v>
      </c>
      <c r="C1184" s="14">
        <v>68.35</v>
      </c>
      <c r="D1184" s="15">
        <v>600</v>
      </c>
      <c r="E1184" s="15">
        <f t="shared" si="181"/>
        <v>41021</v>
      </c>
      <c r="F1184" s="13"/>
      <c r="G1184" s="14">
        <v>95.68</v>
      </c>
      <c r="H1184" s="15">
        <f t="shared" si="182"/>
        <v>57408.00000000001</v>
      </c>
      <c r="I1184" s="16">
        <f t="shared" si="183"/>
        <v>16387.000000000007</v>
      </c>
      <c r="J1184" s="19">
        <f t="shared" si="184"/>
        <v>0.3994783159844959</v>
      </c>
      <c r="K1184" s="95" t="s">
        <v>312</v>
      </c>
      <c r="L1184" s="119">
        <v>83.55</v>
      </c>
      <c r="M1184" s="41">
        <f t="shared" si="185"/>
        <v>63.5655</v>
      </c>
      <c r="N1184" s="117">
        <v>86.66</v>
      </c>
      <c r="O1184" s="121">
        <v>42256</v>
      </c>
      <c r="P1184" s="116" t="s">
        <v>68</v>
      </c>
      <c r="Q1184" s="117">
        <v>97.72</v>
      </c>
      <c r="R1184" s="118">
        <f>Q1184*0.855</f>
        <v>83.5506</v>
      </c>
      <c r="S1184" s="117">
        <f>1.11*C1184</f>
        <v>75.8685</v>
      </c>
      <c r="T1184" s="116"/>
    </row>
    <row r="1185" spans="1:20" s="114" customFormat="1" ht="15">
      <c r="A1185" s="12" t="s">
        <v>68</v>
      </c>
      <c r="B1185" s="13">
        <v>42202.285416666666</v>
      </c>
      <c r="C1185" s="14">
        <v>69.54</v>
      </c>
      <c r="D1185" s="15">
        <v>350</v>
      </c>
      <c r="E1185" s="15">
        <f t="shared" si="181"/>
        <v>24350.000000000004</v>
      </c>
      <c r="F1185" s="13"/>
      <c r="G1185" s="14">
        <v>95.68</v>
      </c>
      <c r="H1185" s="15">
        <f t="shared" si="182"/>
        <v>33488</v>
      </c>
      <c r="I1185" s="16">
        <f t="shared" si="183"/>
        <v>9137.999999999996</v>
      </c>
      <c r="J1185" s="19">
        <f t="shared" si="184"/>
        <v>0.37527720739219694</v>
      </c>
      <c r="K1185" s="95" t="s">
        <v>296</v>
      </c>
      <c r="L1185" s="119">
        <v>83.55</v>
      </c>
      <c r="M1185" s="41">
        <f t="shared" si="185"/>
        <v>64.6722</v>
      </c>
      <c r="N1185" s="117">
        <v>86.66</v>
      </c>
      <c r="P1185" s="116" t="s">
        <v>68</v>
      </c>
      <c r="Q1185" s="117"/>
      <c r="R1185" s="117"/>
      <c r="S1185" s="117"/>
      <c r="T1185" s="116"/>
    </row>
    <row r="1186" spans="1:20" s="114" customFormat="1" ht="15">
      <c r="A1186" s="12" t="s">
        <v>68</v>
      </c>
      <c r="B1186" s="13">
        <v>42202.46527777778</v>
      </c>
      <c r="C1186" s="14">
        <v>71.51</v>
      </c>
      <c r="D1186" s="15">
        <v>230</v>
      </c>
      <c r="E1186" s="15">
        <f t="shared" si="181"/>
        <v>16458.300000000003</v>
      </c>
      <c r="F1186" s="13"/>
      <c r="G1186" s="14">
        <v>95.68</v>
      </c>
      <c r="H1186" s="15">
        <f t="shared" si="182"/>
        <v>22006.4</v>
      </c>
      <c r="I1186" s="16">
        <f t="shared" si="183"/>
        <v>5548.0999999999985</v>
      </c>
      <c r="J1186" s="19">
        <f t="shared" si="184"/>
        <v>0.33710042957049013</v>
      </c>
      <c r="K1186" s="95" t="s">
        <v>297</v>
      </c>
      <c r="L1186" s="119">
        <v>83.55</v>
      </c>
      <c r="M1186" s="41">
        <f t="shared" si="185"/>
        <v>66.50430000000001</v>
      </c>
      <c r="N1186" s="117">
        <v>86.66</v>
      </c>
      <c r="P1186" s="116" t="s">
        <v>68</v>
      </c>
      <c r="Q1186" s="117"/>
      <c r="R1186" s="117"/>
      <c r="S1186" s="117"/>
      <c r="T1186" s="116"/>
    </row>
    <row r="1187" spans="1:20" s="114" customFormat="1" ht="15">
      <c r="A1187" s="12" t="s">
        <v>68</v>
      </c>
      <c r="B1187" s="13">
        <v>42215.32430555556</v>
      </c>
      <c r="C1187" s="14">
        <v>76.97</v>
      </c>
      <c r="D1187" s="15">
        <v>240</v>
      </c>
      <c r="E1187" s="15">
        <f t="shared" si="181"/>
        <v>18483.8</v>
      </c>
      <c r="F1187" s="13"/>
      <c r="G1187" s="14">
        <v>95.68</v>
      </c>
      <c r="H1187" s="15">
        <f t="shared" si="182"/>
        <v>22963.2</v>
      </c>
      <c r="I1187" s="16">
        <f t="shared" si="183"/>
        <v>4479.4000000000015</v>
      </c>
      <c r="J1187" s="19">
        <f t="shared" si="184"/>
        <v>0.24234194267412554</v>
      </c>
      <c r="K1187" s="95" t="s">
        <v>303</v>
      </c>
      <c r="L1187" s="119">
        <v>83.55</v>
      </c>
      <c r="M1187" s="41">
        <f t="shared" si="185"/>
        <v>71.5821</v>
      </c>
      <c r="P1187" s="116" t="s">
        <v>68</v>
      </c>
      <c r="Q1187" s="117"/>
      <c r="R1187" s="117"/>
      <c r="S1187" s="117"/>
      <c r="T1187" s="116"/>
    </row>
    <row r="1188" spans="1:20" s="114" customFormat="1" ht="15">
      <c r="A1188" s="12" t="s">
        <v>313</v>
      </c>
      <c r="B1188" s="13">
        <v>42220.27222222222</v>
      </c>
      <c r="C1188" s="14">
        <v>86.35</v>
      </c>
      <c r="D1188" s="15">
        <v>290</v>
      </c>
      <c r="E1188" s="15">
        <f t="shared" si="181"/>
        <v>25052.5</v>
      </c>
      <c r="F1188" s="13"/>
      <c r="G1188" s="14">
        <v>95.68</v>
      </c>
      <c r="H1188" s="15">
        <f t="shared" si="182"/>
        <v>27747.2</v>
      </c>
      <c r="I1188" s="16">
        <f t="shared" si="183"/>
        <v>2694.7000000000007</v>
      </c>
      <c r="J1188" s="19">
        <f t="shared" si="184"/>
        <v>0.10756211954894725</v>
      </c>
      <c r="K1188" s="95" t="s">
        <v>314</v>
      </c>
      <c r="L1188" s="119">
        <v>83.55</v>
      </c>
      <c r="M1188" s="41">
        <f t="shared" si="185"/>
        <v>80.3055</v>
      </c>
      <c r="N1188" s="117">
        <v>86.66</v>
      </c>
      <c r="P1188" s="116" t="s">
        <v>68</v>
      </c>
      <c r="Q1188" s="117"/>
      <c r="R1188" s="117"/>
      <c r="S1188" s="117"/>
      <c r="T1188" s="116"/>
    </row>
    <row r="1189" spans="1:20" s="114" customFormat="1" ht="15">
      <c r="A1189" s="85" t="s">
        <v>65</v>
      </c>
      <c r="B1189" s="13">
        <v>42221.27638888889</v>
      </c>
      <c r="C1189" s="14">
        <v>36.01</v>
      </c>
      <c r="D1189" s="15">
        <v>2800</v>
      </c>
      <c r="E1189" s="15">
        <f t="shared" si="181"/>
        <v>100839</v>
      </c>
      <c r="F1189" s="13"/>
      <c r="G1189" s="14">
        <v>37.14</v>
      </c>
      <c r="H1189" s="15">
        <f t="shared" si="182"/>
        <v>103992</v>
      </c>
      <c r="I1189" s="16">
        <f t="shared" si="183"/>
        <v>3153</v>
      </c>
      <c r="J1189" s="19">
        <f t="shared" si="184"/>
        <v>0.03126766429655193</v>
      </c>
      <c r="K1189" s="95" t="s">
        <v>315</v>
      </c>
      <c r="L1189" s="119"/>
      <c r="M1189" s="20">
        <f t="shared" si="185"/>
        <v>33.4893</v>
      </c>
      <c r="N1189" s="117">
        <v>40.96</v>
      </c>
      <c r="O1189" s="148">
        <f>WORKDAY(B1189,40,'Weekly Summary'!P$2:P$10)</f>
        <v>42278</v>
      </c>
      <c r="P1189" s="116" t="s">
        <v>65</v>
      </c>
      <c r="Q1189" s="117"/>
      <c r="R1189" s="117"/>
      <c r="S1189" s="117">
        <f>1.11*C1189</f>
        <v>39.9711</v>
      </c>
      <c r="T1189" s="116"/>
    </row>
    <row r="1190" spans="1:20" s="114" customFormat="1" ht="15">
      <c r="A1190" s="85" t="s">
        <v>65</v>
      </c>
      <c r="B1190" s="13">
        <v>42221.322222222225</v>
      </c>
      <c r="C1190" s="14">
        <v>37.24</v>
      </c>
      <c r="D1190" s="15">
        <v>1700</v>
      </c>
      <c r="E1190" s="15">
        <f t="shared" si="181"/>
        <v>63319</v>
      </c>
      <c r="F1190" s="13"/>
      <c r="G1190" s="14">
        <v>37.14</v>
      </c>
      <c r="H1190" s="15">
        <f t="shared" si="182"/>
        <v>63138</v>
      </c>
      <c r="I1190" s="16">
        <f t="shared" si="183"/>
        <v>-181</v>
      </c>
      <c r="J1190" s="19">
        <f t="shared" si="184"/>
        <v>-0.002858541669956885</v>
      </c>
      <c r="K1190" s="95" t="s">
        <v>317</v>
      </c>
      <c r="L1190" s="119"/>
      <c r="M1190" s="20">
        <f t="shared" si="185"/>
        <v>34.6332</v>
      </c>
      <c r="N1190" s="117">
        <v>40.96</v>
      </c>
      <c r="P1190" s="116" t="s">
        <v>65</v>
      </c>
      <c r="Q1190" s="117"/>
      <c r="R1190" s="117"/>
      <c r="S1190" s="117"/>
      <c r="T1190" s="116"/>
    </row>
    <row r="1191" spans="1:20" s="114" customFormat="1" ht="15">
      <c r="A1191" s="85" t="s">
        <v>65</v>
      </c>
      <c r="B1191" s="13">
        <v>42221.35763888889</v>
      </c>
      <c r="C1191" s="14">
        <v>37.53</v>
      </c>
      <c r="D1191" s="15">
        <v>1000</v>
      </c>
      <c r="E1191" s="15">
        <f t="shared" si="181"/>
        <v>37541</v>
      </c>
      <c r="F1191" s="13"/>
      <c r="G1191" s="14">
        <v>37.14</v>
      </c>
      <c r="H1191" s="15">
        <f t="shared" si="182"/>
        <v>37140</v>
      </c>
      <c r="I1191" s="16">
        <f t="shared" si="183"/>
        <v>-401</v>
      </c>
      <c r="J1191" s="19">
        <f t="shared" si="184"/>
        <v>-0.010681654724168243</v>
      </c>
      <c r="K1191" s="95" t="s">
        <v>316</v>
      </c>
      <c r="L1191" s="119"/>
      <c r="M1191" s="20">
        <f t="shared" si="185"/>
        <v>34.9029</v>
      </c>
      <c r="N1191" s="117">
        <v>40.96</v>
      </c>
      <c r="P1191" s="116" t="s">
        <v>65</v>
      </c>
      <c r="Q1191" s="117"/>
      <c r="R1191" s="117"/>
      <c r="S1191" s="117"/>
      <c r="T1191" s="116"/>
    </row>
    <row r="1192" spans="1:20" s="114" customFormat="1" ht="15">
      <c r="A1192" s="149" t="s">
        <v>40</v>
      </c>
      <c r="B1192" s="13"/>
      <c r="C1192" s="14">
        <v>210.5</v>
      </c>
      <c r="D1192" s="15">
        <v>500</v>
      </c>
      <c r="E1192" s="15">
        <f t="shared" si="181"/>
        <v>105261</v>
      </c>
      <c r="F1192" s="152">
        <v>42221.36666666667</v>
      </c>
      <c r="G1192" s="150">
        <v>217.87</v>
      </c>
      <c r="H1192" s="151">
        <f t="shared" si="182"/>
        <v>108935</v>
      </c>
      <c r="I1192" s="16">
        <f t="shared" si="183"/>
        <v>3674</v>
      </c>
      <c r="J1192" s="19">
        <f t="shared" si="184"/>
        <v>0.034903715526168284</v>
      </c>
      <c r="K1192" s="95" t="s">
        <v>336</v>
      </c>
      <c r="L1192" s="119"/>
      <c r="M1192" s="20">
        <f t="shared" si="185"/>
        <v>195.76500000000001</v>
      </c>
      <c r="N1192" s="117"/>
      <c r="P1192" s="116"/>
      <c r="Q1192" s="117"/>
      <c r="R1192" s="117"/>
      <c r="S1192" s="117"/>
      <c r="T1192" s="116"/>
    </row>
    <row r="1193" spans="1:20" s="114" customFormat="1" ht="15">
      <c r="A1193" s="12"/>
      <c r="B1193" s="13"/>
      <c r="C1193" s="14"/>
      <c r="D1193" s="15"/>
      <c r="E1193" s="15"/>
      <c r="F1193" s="13"/>
      <c r="G1193" s="14"/>
      <c r="H1193" s="15"/>
      <c r="I1193" s="16"/>
      <c r="J1193" s="19"/>
      <c r="K1193" s="95"/>
      <c r="L1193" s="119"/>
      <c r="M1193" s="32"/>
      <c r="N1193" s="117"/>
      <c r="P1193" s="116"/>
      <c r="Q1193" s="117"/>
      <c r="R1193" s="117"/>
      <c r="S1193" s="117"/>
      <c r="T1193" s="116"/>
    </row>
    <row r="1194" spans="1:33" s="114" customFormat="1" ht="15">
      <c r="A1194" s="21" t="s">
        <v>14</v>
      </c>
      <c r="B1194" s="22"/>
      <c r="C1194" s="23"/>
      <c r="D1194" s="24"/>
      <c r="E1194" s="24">
        <f>SUM(E1162:E1193)</f>
        <v>1066633.8</v>
      </c>
      <c r="F1194" s="22"/>
      <c r="G1194" s="23"/>
      <c r="H1194" s="24">
        <f>SUM(H1162:H1193)</f>
        <v>1282445</v>
      </c>
      <c r="I1194" s="25">
        <f>SUM(I1162:I1193)</f>
        <v>215811.2</v>
      </c>
      <c r="J1194" s="26">
        <f>I1194/E1194</f>
        <v>0.20232923426953092</v>
      </c>
      <c r="K1194" s="27" t="s">
        <v>15</v>
      </c>
      <c r="L1194" s="28">
        <f>100000+I1196</f>
        <v>541804.9099999999</v>
      </c>
      <c r="M1194" s="81"/>
      <c r="N1194" s="89"/>
      <c r="Q1194" s="117"/>
      <c r="R1194" s="117"/>
      <c r="S1194" s="117"/>
      <c r="T1194" s="116"/>
      <c r="X1194" s="114" t="s">
        <v>371</v>
      </c>
      <c r="Z1194" s="114" t="s">
        <v>17</v>
      </c>
      <c r="AC1194" s="114" t="s">
        <v>372</v>
      </c>
      <c r="AE1194" s="114" t="s">
        <v>373</v>
      </c>
      <c r="AG1194" s="114" t="s">
        <v>374</v>
      </c>
    </row>
    <row r="1195" spans="1:33" s="114" customFormat="1" ht="15">
      <c r="A1195" s="12" t="s">
        <v>67</v>
      </c>
      <c r="B1195" s="22"/>
      <c r="C1195" s="25">
        <f>I1196-I1157</f>
        <v>59024.04999999999</v>
      </c>
      <c r="D1195" s="26">
        <f>C1195/H1155</f>
        <v>0.05064389569497649</v>
      </c>
      <c r="E1195" s="24"/>
      <c r="F1195" s="22" t="s">
        <v>16</v>
      </c>
      <c r="G1195" s="117"/>
      <c r="H1195" s="29" t="str">
        <f>IF(ABS(H1194-E1194-I1194)&lt;1,"","ERROR")</f>
        <v/>
      </c>
      <c r="I1195" s="16">
        <v>225993.70999999996</v>
      </c>
      <c r="J1195" s="26"/>
      <c r="K1195" s="111" t="s">
        <v>17</v>
      </c>
      <c r="L1195" s="28">
        <f>(2*(100000+I1196))-E1194</f>
        <v>16976.019999999786</v>
      </c>
      <c r="M1195" s="31"/>
      <c r="Q1195" s="117"/>
      <c r="R1195" s="117"/>
      <c r="S1195" s="117"/>
      <c r="T1195" s="116"/>
      <c r="X1195" s="29">
        <f>E1194-E1192</f>
        <v>961372.8</v>
      </c>
      <c r="Z1195" s="29">
        <f>E1194+L1195</f>
        <v>1083609.8199999998</v>
      </c>
      <c r="AC1195" s="29">
        <f>H1192</f>
        <v>108935</v>
      </c>
      <c r="AE1195" s="29">
        <f>X1195-AC1195</f>
        <v>852437.8</v>
      </c>
      <c r="AG1195" s="155">
        <f>AE1195/Z1195</f>
        <v>0.786664890135455</v>
      </c>
    </row>
    <row r="1196" spans="1:20" s="114" customFormat="1" ht="15">
      <c r="A1196" s="12" t="s">
        <v>54</v>
      </c>
      <c r="B1196" s="22"/>
      <c r="C1196" s="25">
        <f>L1194-L1155</f>
        <v>59024.04999999993</v>
      </c>
      <c r="D1196" s="26">
        <f>C1196/L1155</f>
        <v>0.12225847147295758</v>
      </c>
      <c r="E1196" s="24"/>
      <c r="F1196" s="22" t="s">
        <v>18</v>
      </c>
      <c r="G1196" s="117"/>
      <c r="H1196" s="29"/>
      <c r="I1196" s="30">
        <f>I1194+I1195</f>
        <v>441804.91</v>
      </c>
      <c r="J1196" s="26">
        <f>I1196/100000</f>
        <v>4.4180491</v>
      </c>
      <c r="K1196" s="111" t="s">
        <v>19</v>
      </c>
      <c r="L1196" s="26">
        <f>E1194/(2*(100000+I1196))</f>
        <v>0.9843338259891371</v>
      </c>
      <c r="M1196" s="31"/>
      <c r="Q1196" s="117"/>
      <c r="R1196" s="117"/>
      <c r="S1196" s="117"/>
      <c r="T1196" s="116"/>
    </row>
    <row r="1197" spans="1:20" s="114" customFormat="1" ht="15">
      <c r="A1197" s="114">
        <v>7</v>
      </c>
      <c r="B1197" s="22"/>
      <c r="C1197" s="25"/>
      <c r="D1197" s="26"/>
      <c r="E1197" s="24"/>
      <c r="F1197" s="22"/>
      <c r="G1197" s="117"/>
      <c r="H1197" s="29"/>
      <c r="I1197" s="30"/>
      <c r="J1197" s="26"/>
      <c r="K1197" s="111"/>
      <c r="L1197" s="26"/>
      <c r="M1197" s="31"/>
      <c r="Q1197" s="117"/>
      <c r="R1197" s="117"/>
      <c r="S1197" s="117"/>
      <c r="T1197" s="116"/>
    </row>
    <row r="1198" spans="2:20" s="114" customFormat="1" ht="15">
      <c r="B1198" s="22"/>
      <c r="C1198" s="25"/>
      <c r="D1198" s="26"/>
      <c r="E1198" s="24"/>
      <c r="F1198" s="22"/>
      <c r="G1198" s="117"/>
      <c r="H1198" s="29"/>
      <c r="I1198" s="30"/>
      <c r="J1198" s="26"/>
      <c r="K1198" s="111"/>
      <c r="L1198" s="26"/>
      <c r="M1198" s="31"/>
      <c r="Q1198" s="117"/>
      <c r="R1198" s="117"/>
      <c r="S1198" s="117"/>
      <c r="T1198" s="116"/>
    </row>
    <row r="1199" spans="1:20" s="114" customFormat="1" ht="30.75" customHeight="1">
      <c r="A1199" s="130" t="s">
        <v>62</v>
      </c>
      <c r="B1199" s="384" t="s">
        <v>328</v>
      </c>
      <c r="C1199" s="384"/>
      <c r="D1199" s="384"/>
      <c r="E1199" s="384"/>
      <c r="F1199" s="384"/>
      <c r="G1199" s="384"/>
      <c r="H1199" s="384"/>
      <c r="I1199" s="384"/>
      <c r="J1199" s="384"/>
      <c r="K1199" s="384"/>
      <c r="L1199" s="384"/>
      <c r="M1199" s="384"/>
      <c r="N1199" s="384"/>
      <c r="O1199" s="92"/>
      <c r="P1199" s="92"/>
      <c r="Q1199" s="104"/>
      <c r="R1199" s="104"/>
      <c r="S1199" s="107"/>
      <c r="T1199" s="109"/>
    </row>
    <row r="1200" spans="1:22" s="114" customFormat="1" ht="15">
      <c r="A1200" s="2" t="s">
        <v>0</v>
      </c>
      <c r="B1200" s="3" t="s">
        <v>1</v>
      </c>
      <c r="C1200" s="4" t="s">
        <v>2</v>
      </c>
      <c r="D1200" s="5" t="s">
        <v>3</v>
      </c>
      <c r="E1200" s="6" t="s">
        <v>4</v>
      </c>
      <c r="F1200" s="3" t="s">
        <v>5</v>
      </c>
      <c r="G1200" s="7" t="s">
        <v>2</v>
      </c>
      <c r="H1200" s="6" t="s">
        <v>6</v>
      </c>
      <c r="I1200" s="6" t="s">
        <v>7</v>
      </c>
      <c r="J1200" s="8" t="s">
        <v>8</v>
      </c>
      <c r="K1200" s="9" t="s">
        <v>9</v>
      </c>
      <c r="L1200" s="10" t="s">
        <v>10</v>
      </c>
      <c r="M1200" s="11" t="s">
        <v>11</v>
      </c>
      <c r="N1200" s="103" t="s">
        <v>53</v>
      </c>
      <c r="O1200" s="105" t="s">
        <v>110</v>
      </c>
      <c r="P1200" s="106" t="s">
        <v>0</v>
      </c>
      <c r="Q1200" s="117" t="s">
        <v>13</v>
      </c>
      <c r="R1200" s="117" t="s">
        <v>70</v>
      </c>
      <c r="S1200" s="111" t="s">
        <v>103</v>
      </c>
      <c r="T1200" s="116" t="s">
        <v>107</v>
      </c>
      <c r="V1200" s="9"/>
    </row>
    <row r="1201" spans="1:22" s="114" customFormat="1" ht="15">
      <c r="A1201" s="12" t="s">
        <v>80</v>
      </c>
      <c r="B1201" s="65">
        <v>42011.30486111111</v>
      </c>
      <c r="C1201" s="14">
        <v>58.02</v>
      </c>
      <c r="D1201" s="15">
        <v>250</v>
      </c>
      <c r="E1201" s="15">
        <f aca="true" t="shared" si="186" ref="E1201:E1210">C1201*D1201+11</f>
        <v>14516</v>
      </c>
      <c r="F1201" s="13"/>
      <c r="G1201" s="14">
        <v>153.53</v>
      </c>
      <c r="H1201" s="15">
        <f aca="true" t="shared" si="187" ref="H1201:H1210">G1201*D1201</f>
        <v>38382.5</v>
      </c>
      <c r="I1201" s="16">
        <f aca="true" t="shared" si="188" ref="I1201:I1210">H1201-E1201</f>
        <v>23866.5</v>
      </c>
      <c r="J1201" s="19">
        <f aca="true" t="shared" si="189" ref="J1201:J1210">I1201/E1201</f>
        <v>1.644151281344723</v>
      </c>
      <c r="K1201" s="141" t="s">
        <v>334</v>
      </c>
      <c r="L1201" s="140" t="s">
        <v>51</v>
      </c>
      <c r="M1201" s="41">
        <f aca="true" t="shared" si="190" ref="M1201:M1210">C1201*0.93</f>
        <v>53.958600000000004</v>
      </c>
      <c r="N1201" s="118">
        <v>77.93</v>
      </c>
      <c r="O1201" s="121">
        <v>42090</v>
      </c>
      <c r="P1201" s="116" t="s">
        <v>80</v>
      </c>
      <c r="Q1201" s="117">
        <v>163.6</v>
      </c>
      <c r="R1201" s="118">
        <f>Q1201*0.855</f>
        <v>139.878</v>
      </c>
      <c r="S1201" s="117">
        <f>1.11*C1201</f>
        <v>64.40220000000001</v>
      </c>
      <c r="T1201" s="116"/>
      <c r="U1201" s="117"/>
      <c r="V1201" s="15"/>
    </row>
    <row r="1202" spans="1:22" s="114" customFormat="1" ht="15">
      <c r="A1202" s="12" t="s">
        <v>80</v>
      </c>
      <c r="B1202" s="65">
        <v>42011.40694444445</v>
      </c>
      <c r="C1202" s="14">
        <v>59.16</v>
      </c>
      <c r="D1202" s="15">
        <v>150</v>
      </c>
      <c r="E1202" s="15">
        <f t="shared" si="186"/>
        <v>8885</v>
      </c>
      <c r="F1202" s="13"/>
      <c r="G1202" s="14">
        <v>153.53</v>
      </c>
      <c r="H1202" s="15">
        <f t="shared" si="187"/>
        <v>23029.5</v>
      </c>
      <c r="I1202" s="16">
        <f t="shared" si="188"/>
        <v>14144.5</v>
      </c>
      <c r="J1202" s="122">
        <f t="shared" si="189"/>
        <v>1.5919527293190772</v>
      </c>
      <c r="K1202" s="95" t="s">
        <v>82</v>
      </c>
      <c r="L1202" s="140" t="s">
        <v>51</v>
      </c>
      <c r="M1202" s="41">
        <f t="shared" si="190"/>
        <v>55.0188</v>
      </c>
      <c r="N1202" s="118">
        <v>77.93</v>
      </c>
      <c r="O1202" s="116"/>
      <c r="P1202" s="116" t="s">
        <v>80</v>
      </c>
      <c r="Q1202" s="117"/>
      <c r="R1202" s="118"/>
      <c r="S1202" s="117"/>
      <c r="T1202" s="116"/>
      <c r="V1202" s="15"/>
    </row>
    <row r="1203" spans="1:22" s="114" customFormat="1" ht="15">
      <c r="A1203" s="12" t="s">
        <v>80</v>
      </c>
      <c r="B1203" s="65">
        <v>42012.29305555556</v>
      </c>
      <c r="C1203" s="14">
        <v>60.3</v>
      </c>
      <c r="D1203" s="15">
        <v>100</v>
      </c>
      <c r="E1203" s="15">
        <f t="shared" si="186"/>
        <v>6041</v>
      </c>
      <c r="F1203" s="13"/>
      <c r="G1203" s="14">
        <v>153.53</v>
      </c>
      <c r="H1203" s="15">
        <f t="shared" si="187"/>
        <v>15353</v>
      </c>
      <c r="I1203" s="16">
        <f t="shared" si="188"/>
        <v>9312</v>
      </c>
      <c r="J1203" s="19">
        <f t="shared" si="189"/>
        <v>1.5414666445952656</v>
      </c>
      <c r="K1203" s="95" t="s">
        <v>83</v>
      </c>
      <c r="L1203" s="140" t="s">
        <v>51</v>
      </c>
      <c r="M1203" s="41">
        <f t="shared" si="190"/>
        <v>56.079</v>
      </c>
      <c r="N1203" s="118">
        <v>77.93</v>
      </c>
      <c r="O1203" s="116"/>
      <c r="P1203" s="116" t="s">
        <v>80</v>
      </c>
      <c r="Q1203" s="117"/>
      <c r="R1203" s="118"/>
      <c r="S1203" s="117"/>
      <c r="T1203" s="116"/>
      <c r="V1203" s="15"/>
    </row>
    <row r="1204" spans="1:22" s="114" customFormat="1" ht="15">
      <c r="A1204" s="12" t="s">
        <v>80</v>
      </c>
      <c r="B1204" s="65">
        <v>42047.271527777775</v>
      </c>
      <c r="C1204" s="14">
        <v>64.65</v>
      </c>
      <c r="D1204" s="15">
        <v>100</v>
      </c>
      <c r="E1204" s="15">
        <f t="shared" si="186"/>
        <v>6476.000000000001</v>
      </c>
      <c r="F1204" s="13"/>
      <c r="G1204" s="14">
        <v>153.53</v>
      </c>
      <c r="H1204" s="15">
        <f t="shared" si="187"/>
        <v>15353</v>
      </c>
      <c r="I1204" s="16">
        <f t="shared" si="188"/>
        <v>8877</v>
      </c>
      <c r="J1204" s="19">
        <f t="shared" si="189"/>
        <v>1.3707535515750462</v>
      </c>
      <c r="K1204" s="95" t="s">
        <v>132</v>
      </c>
      <c r="L1204" s="140" t="s">
        <v>51</v>
      </c>
      <c r="M1204" s="41">
        <f t="shared" si="190"/>
        <v>60.12450000000001</v>
      </c>
      <c r="N1204" s="118">
        <v>77.93</v>
      </c>
      <c r="O1204" s="116"/>
      <c r="P1204" s="116" t="s">
        <v>80</v>
      </c>
      <c r="Q1204" s="117"/>
      <c r="R1204" s="118"/>
      <c r="S1204" s="117"/>
      <c r="T1204" s="116"/>
      <c r="V1204" s="15"/>
    </row>
    <row r="1205" spans="1:22" s="114" customFormat="1" ht="15">
      <c r="A1205" s="12" t="s">
        <v>80</v>
      </c>
      <c r="B1205" s="65">
        <v>42081.34097222222</v>
      </c>
      <c r="C1205" s="14">
        <v>70</v>
      </c>
      <c r="D1205" s="15">
        <v>120</v>
      </c>
      <c r="E1205" s="15">
        <f t="shared" si="186"/>
        <v>8411</v>
      </c>
      <c r="F1205" s="13"/>
      <c r="G1205" s="14">
        <v>153.53</v>
      </c>
      <c r="H1205" s="15">
        <f t="shared" si="187"/>
        <v>18423.6</v>
      </c>
      <c r="I1205" s="16">
        <f t="shared" si="188"/>
        <v>10012.599999999999</v>
      </c>
      <c r="J1205" s="19">
        <f t="shared" si="189"/>
        <v>1.1904173106646057</v>
      </c>
      <c r="K1205" s="95" t="s">
        <v>181</v>
      </c>
      <c r="L1205" s="140" t="s">
        <v>51</v>
      </c>
      <c r="M1205" s="41">
        <f t="shared" si="190"/>
        <v>65.10000000000001</v>
      </c>
      <c r="N1205" s="118">
        <v>77.93</v>
      </c>
      <c r="O1205" s="116"/>
      <c r="P1205" s="116" t="s">
        <v>80</v>
      </c>
      <c r="Q1205" s="117"/>
      <c r="R1205" s="118"/>
      <c r="S1205" s="117"/>
      <c r="T1205" s="116"/>
      <c r="V1205" s="15"/>
    </row>
    <row r="1206" spans="1:22" s="114" customFormat="1" ht="15">
      <c r="A1206" s="12" t="s">
        <v>80</v>
      </c>
      <c r="B1206" s="65">
        <v>42117.55694444444</v>
      </c>
      <c r="C1206" s="14">
        <v>77.75</v>
      </c>
      <c r="D1206" s="15">
        <v>150</v>
      </c>
      <c r="E1206" s="15">
        <f t="shared" si="186"/>
        <v>11673.5</v>
      </c>
      <c r="F1206" s="13"/>
      <c r="G1206" s="14">
        <v>153.53</v>
      </c>
      <c r="H1206" s="15">
        <f t="shared" si="187"/>
        <v>23029.5</v>
      </c>
      <c r="I1206" s="16">
        <f t="shared" si="188"/>
        <v>11356</v>
      </c>
      <c r="J1206" s="19">
        <f t="shared" si="189"/>
        <v>0.9728016447509316</v>
      </c>
      <c r="K1206" s="95" t="s">
        <v>233</v>
      </c>
      <c r="L1206" s="140" t="s">
        <v>51</v>
      </c>
      <c r="M1206" s="41">
        <f t="shared" si="190"/>
        <v>72.3075</v>
      </c>
      <c r="N1206" s="118">
        <v>77.93</v>
      </c>
      <c r="O1206" s="116"/>
      <c r="P1206" s="116" t="s">
        <v>80</v>
      </c>
      <c r="Q1206" s="117"/>
      <c r="R1206" s="118"/>
      <c r="S1206" s="117"/>
      <c r="T1206" s="116"/>
      <c r="V1206" s="15"/>
    </row>
    <row r="1207" spans="1:23" s="114" customFormat="1" ht="15">
      <c r="A1207" s="12" t="s">
        <v>80</v>
      </c>
      <c r="B1207" s="65">
        <v>42128.525</v>
      </c>
      <c r="C1207" s="14">
        <v>93.09</v>
      </c>
      <c r="D1207" s="15">
        <v>180</v>
      </c>
      <c r="E1207" s="15">
        <f t="shared" si="186"/>
        <v>16767.2</v>
      </c>
      <c r="F1207" s="13"/>
      <c r="G1207" s="14">
        <v>153.53</v>
      </c>
      <c r="H1207" s="15">
        <f t="shared" si="187"/>
        <v>27635.4</v>
      </c>
      <c r="I1207" s="16">
        <f t="shared" si="188"/>
        <v>10868.2</v>
      </c>
      <c r="J1207" s="19">
        <f t="shared" si="189"/>
        <v>0.6481821651796364</v>
      </c>
      <c r="K1207" s="95" t="s">
        <v>244</v>
      </c>
      <c r="L1207" s="140" t="s">
        <v>51</v>
      </c>
      <c r="M1207" s="41">
        <f t="shared" si="190"/>
        <v>86.5737</v>
      </c>
      <c r="N1207" s="118">
        <v>77.93</v>
      </c>
      <c r="O1207" s="116"/>
      <c r="P1207" s="116" t="s">
        <v>80</v>
      </c>
      <c r="Q1207" s="117"/>
      <c r="R1207" s="118"/>
      <c r="S1207" s="117"/>
      <c r="T1207" s="116"/>
      <c r="V1207" s="15"/>
      <c r="W1207" s="29"/>
    </row>
    <row r="1208" spans="1:23" s="114" customFormat="1" ht="15">
      <c r="A1208" s="12" t="s">
        <v>80</v>
      </c>
      <c r="B1208" s="65">
        <v>42186.37847222222</v>
      </c>
      <c r="C1208" s="14">
        <v>111.51</v>
      </c>
      <c r="D1208" s="15">
        <v>210</v>
      </c>
      <c r="E1208" s="15">
        <f t="shared" si="186"/>
        <v>23428.100000000002</v>
      </c>
      <c r="F1208" s="13"/>
      <c r="G1208" s="14">
        <v>153.53</v>
      </c>
      <c r="H1208" s="15">
        <f t="shared" si="187"/>
        <v>32241.3</v>
      </c>
      <c r="I1208" s="16">
        <f t="shared" si="188"/>
        <v>8813.199999999997</v>
      </c>
      <c r="J1208" s="19">
        <f t="shared" si="189"/>
        <v>0.37618074022221165</v>
      </c>
      <c r="K1208" s="95" t="s">
        <v>277</v>
      </c>
      <c r="L1208" s="140" t="s">
        <v>51</v>
      </c>
      <c r="M1208" s="41">
        <f t="shared" si="190"/>
        <v>103.7043</v>
      </c>
      <c r="N1208" s="118">
        <v>77.93</v>
      </c>
      <c r="O1208" s="116"/>
      <c r="P1208" s="116" t="s">
        <v>80</v>
      </c>
      <c r="Q1208" s="117"/>
      <c r="R1208" s="118"/>
      <c r="S1208" s="117"/>
      <c r="T1208" s="116"/>
      <c r="V1208" s="15"/>
      <c r="W1208" s="29"/>
    </row>
    <row r="1209" spans="1:23" s="114" customFormat="1" ht="15">
      <c r="A1209" s="12" t="s">
        <v>80</v>
      </c>
      <c r="B1209" s="65">
        <v>42207.52222222222</v>
      </c>
      <c r="C1209" s="14">
        <v>125.19</v>
      </c>
      <c r="D1209" s="15">
        <v>250</v>
      </c>
      <c r="E1209" s="15">
        <f t="shared" si="186"/>
        <v>31308.5</v>
      </c>
      <c r="F1209" s="13"/>
      <c r="G1209" s="14">
        <v>153.53</v>
      </c>
      <c r="H1209" s="15">
        <f t="shared" si="187"/>
        <v>38382.5</v>
      </c>
      <c r="I1209" s="16">
        <f t="shared" si="188"/>
        <v>7074</v>
      </c>
      <c r="J1209" s="19">
        <f t="shared" si="189"/>
        <v>0.22594503090215118</v>
      </c>
      <c r="K1209" s="95" t="s">
        <v>299</v>
      </c>
      <c r="L1209" s="97">
        <v>139</v>
      </c>
      <c r="M1209" s="41">
        <f t="shared" si="190"/>
        <v>116.42670000000001</v>
      </c>
      <c r="N1209" s="118">
        <v>77.93</v>
      </c>
      <c r="O1209" s="116"/>
      <c r="P1209" s="116" t="s">
        <v>80</v>
      </c>
      <c r="Q1209" s="117"/>
      <c r="R1209" s="118"/>
      <c r="S1209" s="117"/>
      <c r="T1209" s="116"/>
      <c r="V1209" s="15"/>
      <c r="W1209" s="29"/>
    </row>
    <row r="1210" spans="1:23" s="114" customFormat="1" ht="15">
      <c r="A1210" s="12" t="s">
        <v>80</v>
      </c>
      <c r="B1210" s="65">
        <v>42215.28888888889</v>
      </c>
      <c r="C1210" s="14">
        <v>143.4</v>
      </c>
      <c r="D1210" s="15">
        <v>300</v>
      </c>
      <c r="E1210" s="15">
        <f t="shared" si="186"/>
        <v>43031</v>
      </c>
      <c r="F1210" s="13"/>
      <c r="G1210" s="14">
        <v>153.53</v>
      </c>
      <c r="H1210" s="15">
        <f t="shared" si="187"/>
        <v>46059</v>
      </c>
      <c r="I1210" s="16">
        <f t="shared" si="188"/>
        <v>3028</v>
      </c>
      <c r="J1210" s="19">
        <f t="shared" si="189"/>
        <v>0.07036787432316237</v>
      </c>
      <c r="K1210" s="95" t="s">
        <v>302</v>
      </c>
      <c r="L1210" s="97">
        <v>139</v>
      </c>
      <c r="M1210" s="41">
        <f t="shared" si="190"/>
        <v>133.36200000000002</v>
      </c>
      <c r="N1210" s="118">
        <v>77.93</v>
      </c>
      <c r="O1210" s="116"/>
      <c r="P1210" s="116" t="s">
        <v>80</v>
      </c>
      <c r="Q1210" s="117"/>
      <c r="R1210" s="118"/>
      <c r="S1210" s="117"/>
      <c r="T1210" s="116"/>
      <c r="V1210" s="15"/>
      <c r="W1210" s="29"/>
    </row>
    <row r="1211" spans="1:22" s="114" customFormat="1" ht="15">
      <c r="A1211" s="12" t="s">
        <v>208</v>
      </c>
      <c r="B1211" s="65">
        <v>42090.308333333334</v>
      </c>
      <c r="C1211" s="14">
        <v>214</v>
      </c>
      <c r="D1211" s="15">
        <v>95</v>
      </c>
      <c r="E1211" s="15">
        <f aca="true" t="shared" si="191" ref="E1211:E1232">C1211*D1211+11</f>
        <v>20341</v>
      </c>
      <c r="F1211" s="13"/>
      <c r="G1211" s="14">
        <v>254.37</v>
      </c>
      <c r="H1211" s="15">
        <f aca="true" t="shared" si="192" ref="H1211:H1232">G1211*D1211</f>
        <v>24165.15</v>
      </c>
      <c r="I1211" s="16">
        <f aca="true" t="shared" si="193" ref="I1211:I1232">H1211-E1211</f>
        <v>3824.1500000000015</v>
      </c>
      <c r="J1211" s="19">
        <f aca="true" t="shared" si="194" ref="J1211:J1232">I1211/E1211</f>
        <v>0.1880020647952412</v>
      </c>
      <c r="K1211" s="95" t="s">
        <v>212</v>
      </c>
      <c r="L1211" s="119">
        <v>219.32</v>
      </c>
      <c r="M1211" s="41">
        <f aca="true" t="shared" si="195" ref="M1211:M1232">C1211*0.93</f>
        <v>199.02</v>
      </c>
      <c r="N1211" s="118">
        <v>267.7</v>
      </c>
      <c r="O1211" s="121">
        <v>42136</v>
      </c>
      <c r="P1211" s="116" t="s">
        <v>208</v>
      </c>
      <c r="Q1211" s="117">
        <v>256.52</v>
      </c>
      <c r="R1211" s="118">
        <f>Q1211*0.855</f>
        <v>219.32459999999998</v>
      </c>
      <c r="S1211" s="117">
        <f>1.11*C1211</f>
        <v>237.54000000000002</v>
      </c>
      <c r="T1211" s="116"/>
      <c r="U1211" s="117"/>
      <c r="V1211" s="15"/>
    </row>
    <row r="1212" spans="1:22" s="114" customFormat="1" ht="15">
      <c r="A1212" s="12" t="s">
        <v>208</v>
      </c>
      <c r="B1212" s="65">
        <v>42093.29305555556</v>
      </c>
      <c r="C1212" s="14">
        <v>219.41</v>
      </c>
      <c r="D1212" s="15">
        <v>55</v>
      </c>
      <c r="E1212" s="15">
        <f t="shared" si="191"/>
        <v>12078.55</v>
      </c>
      <c r="F1212" s="13"/>
      <c r="G1212" s="14">
        <v>254.37</v>
      </c>
      <c r="H1212" s="15">
        <f t="shared" si="192"/>
        <v>13990.35</v>
      </c>
      <c r="I1212" s="16">
        <f t="shared" si="193"/>
        <v>1911.800000000001</v>
      </c>
      <c r="J1212" s="19">
        <f t="shared" si="194"/>
        <v>0.15828058831565056</v>
      </c>
      <c r="K1212" s="95" t="s">
        <v>211</v>
      </c>
      <c r="L1212" s="119">
        <v>219.32</v>
      </c>
      <c r="M1212" s="41">
        <f t="shared" si="195"/>
        <v>204.0513</v>
      </c>
      <c r="N1212" s="118">
        <v>267.7</v>
      </c>
      <c r="O1212" s="116"/>
      <c r="P1212" s="116" t="s">
        <v>208</v>
      </c>
      <c r="Q1212" s="117"/>
      <c r="R1212" s="118"/>
      <c r="S1212" s="117"/>
      <c r="T1212" s="116"/>
      <c r="V1212" s="15"/>
    </row>
    <row r="1213" spans="1:23" s="114" customFormat="1" ht="15">
      <c r="A1213" s="12" t="s">
        <v>208</v>
      </c>
      <c r="B1213" s="65">
        <v>42117.27569444444</v>
      </c>
      <c r="C1213" s="14">
        <v>226.35</v>
      </c>
      <c r="D1213" s="15">
        <v>35</v>
      </c>
      <c r="E1213" s="15">
        <f t="shared" si="191"/>
        <v>7933.25</v>
      </c>
      <c r="F1213" s="13"/>
      <c r="G1213" s="14">
        <v>254.37</v>
      </c>
      <c r="H1213" s="15">
        <f t="shared" si="192"/>
        <v>8902.95</v>
      </c>
      <c r="I1213" s="16">
        <f t="shared" si="193"/>
        <v>969.7000000000007</v>
      </c>
      <c r="J1213" s="19">
        <f t="shared" si="194"/>
        <v>0.1222323763905084</v>
      </c>
      <c r="K1213" s="95" t="s">
        <v>236</v>
      </c>
      <c r="L1213" s="119">
        <v>219.32</v>
      </c>
      <c r="M1213" s="41">
        <f t="shared" si="195"/>
        <v>210.5055</v>
      </c>
      <c r="N1213" s="118">
        <v>267.7</v>
      </c>
      <c r="O1213" s="116"/>
      <c r="P1213" s="116" t="s">
        <v>208</v>
      </c>
      <c r="Q1213" s="117"/>
      <c r="R1213" s="118"/>
      <c r="S1213" s="117"/>
      <c r="T1213" s="116"/>
      <c r="V1213" s="15"/>
      <c r="W1213" s="29"/>
    </row>
    <row r="1214" spans="1:23" s="114" customFormat="1" ht="15">
      <c r="A1214" s="12" t="s">
        <v>59</v>
      </c>
      <c r="B1214" s="65">
        <v>42164.36944444444</v>
      </c>
      <c r="C1214" s="14">
        <v>47.25</v>
      </c>
      <c r="D1214" s="15">
        <v>1600</v>
      </c>
      <c r="E1214" s="15">
        <f t="shared" si="191"/>
        <v>75611</v>
      </c>
      <c r="F1214" s="13"/>
      <c r="G1214" s="14">
        <v>59.65</v>
      </c>
      <c r="H1214" s="15">
        <f t="shared" si="192"/>
        <v>95440</v>
      </c>
      <c r="I1214" s="16">
        <f t="shared" si="193"/>
        <v>19829</v>
      </c>
      <c r="J1214" s="19">
        <f t="shared" si="194"/>
        <v>0.2622502016902303</v>
      </c>
      <c r="K1214" s="95" t="s">
        <v>335</v>
      </c>
      <c r="L1214" s="119">
        <v>54.01</v>
      </c>
      <c r="M1214" s="41">
        <f t="shared" si="195"/>
        <v>43.9425</v>
      </c>
      <c r="N1214" s="118">
        <v>60.98</v>
      </c>
      <c r="O1214" s="121">
        <v>42223</v>
      </c>
      <c r="P1214" s="116" t="s">
        <v>59</v>
      </c>
      <c r="Q1214" s="117">
        <v>63.17</v>
      </c>
      <c r="R1214" s="118">
        <f>Q1214*0.855</f>
        <v>54.01035</v>
      </c>
      <c r="S1214" s="117">
        <f>1.11*C1214</f>
        <v>52.447500000000005</v>
      </c>
      <c r="T1214" s="116"/>
      <c r="V1214" s="15"/>
      <c r="W1214" s="29"/>
    </row>
    <row r="1215" spans="1:23" s="114" customFormat="1" ht="15">
      <c r="A1215" s="12" t="s">
        <v>59</v>
      </c>
      <c r="B1215" s="65">
        <v>42164.478472222225</v>
      </c>
      <c r="C1215" s="14">
        <v>48.3</v>
      </c>
      <c r="D1215" s="15">
        <v>1000</v>
      </c>
      <c r="E1215" s="15">
        <f t="shared" si="191"/>
        <v>48311</v>
      </c>
      <c r="F1215" s="13"/>
      <c r="G1215" s="14">
        <v>59.65</v>
      </c>
      <c r="H1215" s="15">
        <f t="shared" si="192"/>
        <v>59650</v>
      </c>
      <c r="I1215" s="16">
        <f t="shared" si="193"/>
        <v>11339</v>
      </c>
      <c r="J1215" s="19">
        <f t="shared" si="194"/>
        <v>0.23470845149137878</v>
      </c>
      <c r="K1215" s="95" t="s">
        <v>265</v>
      </c>
      <c r="L1215" s="119">
        <v>54.01</v>
      </c>
      <c r="M1215" s="41">
        <f t="shared" si="195"/>
        <v>44.919</v>
      </c>
      <c r="N1215" s="118">
        <v>60.98</v>
      </c>
      <c r="O1215" s="116"/>
      <c r="P1215" s="116" t="s">
        <v>59</v>
      </c>
      <c r="Q1215" s="117"/>
      <c r="R1215" s="118"/>
      <c r="S1215" s="117"/>
      <c r="T1215" s="116"/>
      <c r="V1215" s="15"/>
      <c r="W1215" s="29"/>
    </row>
    <row r="1216" spans="1:23" s="114" customFormat="1" ht="15">
      <c r="A1216" s="12" t="s">
        <v>59</v>
      </c>
      <c r="B1216" s="65">
        <v>42166.291666666664</v>
      </c>
      <c r="C1216" s="14">
        <v>49.14</v>
      </c>
      <c r="D1216" s="15">
        <v>600</v>
      </c>
      <c r="E1216" s="15">
        <f t="shared" si="191"/>
        <v>29495</v>
      </c>
      <c r="F1216" s="13"/>
      <c r="G1216" s="14">
        <v>59.65</v>
      </c>
      <c r="H1216" s="15">
        <f t="shared" si="192"/>
        <v>35790</v>
      </c>
      <c r="I1216" s="16">
        <f t="shared" si="193"/>
        <v>6295</v>
      </c>
      <c r="J1216" s="19">
        <f t="shared" si="194"/>
        <v>0.2134260044075267</v>
      </c>
      <c r="K1216" s="95" t="s">
        <v>264</v>
      </c>
      <c r="L1216" s="119">
        <v>54.01</v>
      </c>
      <c r="M1216" s="41">
        <f t="shared" si="195"/>
        <v>45.7002</v>
      </c>
      <c r="N1216" s="118">
        <v>60.98</v>
      </c>
      <c r="O1216" s="116"/>
      <c r="P1216" s="116" t="s">
        <v>59</v>
      </c>
      <c r="Q1216" s="117"/>
      <c r="R1216" s="118"/>
      <c r="S1216" s="117"/>
      <c r="T1216" s="116"/>
      <c r="V1216" s="15"/>
      <c r="W1216" s="29"/>
    </row>
    <row r="1217" spans="1:23" s="114" customFormat="1" ht="15">
      <c r="A1217" s="12" t="s">
        <v>59</v>
      </c>
      <c r="B1217" s="65">
        <v>42191.27777777778</v>
      </c>
      <c r="C1217" s="14">
        <v>55.44</v>
      </c>
      <c r="D1217" s="15">
        <v>640</v>
      </c>
      <c r="E1217" s="15">
        <f t="shared" si="191"/>
        <v>35492.6</v>
      </c>
      <c r="F1217" s="13"/>
      <c r="G1217" s="14">
        <v>59.65</v>
      </c>
      <c r="H1217" s="15">
        <f t="shared" si="192"/>
        <v>38176</v>
      </c>
      <c r="I1217" s="16">
        <f t="shared" si="193"/>
        <v>2683.4000000000015</v>
      </c>
      <c r="J1217" s="19">
        <f t="shared" si="194"/>
        <v>0.07560449220400876</v>
      </c>
      <c r="K1217" s="95" t="s">
        <v>281</v>
      </c>
      <c r="L1217" s="119">
        <v>54.01</v>
      </c>
      <c r="M1217" s="41">
        <f t="shared" si="195"/>
        <v>51.559200000000004</v>
      </c>
      <c r="N1217" s="118">
        <v>60.98</v>
      </c>
      <c r="O1217" s="116"/>
      <c r="P1217" s="116" t="s">
        <v>59</v>
      </c>
      <c r="Q1217" s="117"/>
      <c r="R1217" s="118"/>
      <c r="S1217" s="117"/>
      <c r="T1217" s="116"/>
      <c r="V1217" s="15"/>
      <c r="W1217" s="29"/>
    </row>
    <row r="1218" spans="1:23" s="114" customFormat="1" ht="15">
      <c r="A1218" s="12" t="s">
        <v>59</v>
      </c>
      <c r="B1218" s="65">
        <v>42222.49236111111</v>
      </c>
      <c r="C1218" s="14">
        <v>58.18</v>
      </c>
      <c r="D1218" s="15">
        <v>770</v>
      </c>
      <c r="E1218" s="15">
        <f t="shared" si="191"/>
        <v>44809.6</v>
      </c>
      <c r="F1218" s="13"/>
      <c r="G1218" s="14">
        <v>59.65</v>
      </c>
      <c r="H1218" s="15">
        <f t="shared" si="192"/>
        <v>45930.5</v>
      </c>
      <c r="I1218" s="16">
        <f t="shared" si="193"/>
        <v>1120.9000000000015</v>
      </c>
      <c r="J1218" s="19">
        <f t="shared" si="194"/>
        <v>0.02501472898664575</v>
      </c>
      <c r="K1218" s="95" t="s">
        <v>311</v>
      </c>
      <c r="L1218" s="119"/>
      <c r="M1218" s="20">
        <f t="shared" si="195"/>
        <v>54.107400000000005</v>
      </c>
      <c r="N1218" s="118">
        <v>60.98</v>
      </c>
      <c r="O1218" s="116"/>
      <c r="P1218" s="116" t="s">
        <v>59</v>
      </c>
      <c r="Q1218" s="117"/>
      <c r="R1218" s="118"/>
      <c r="S1218" s="117"/>
      <c r="T1218" s="116"/>
      <c r="V1218" s="15"/>
      <c r="W1218" s="29"/>
    </row>
    <row r="1219" spans="1:23" s="114" customFormat="1" ht="15">
      <c r="A1219" s="12" t="s">
        <v>48</v>
      </c>
      <c r="B1219" s="65">
        <v>42174.53472222222</v>
      </c>
      <c r="C1219" s="14">
        <v>82.6</v>
      </c>
      <c r="D1219" s="15">
        <v>950</v>
      </c>
      <c r="E1219" s="15">
        <f t="shared" si="191"/>
        <v>78481</v>
      </c>
      <c r="F1219" s="13"/>
      <c r="G1219" s="14">
        <v>94.42</v>
      </c>
      <c r="H1219" s="15">
        <f t="shared" si="192"/>
        <v>89699</v>
      </c>
      <c r="I1219" s="16">
        <f t="shared" si="193"/>
        <v>11218</v>
      </c>
      <c r="J1219" s="19">
        <f t="shared" si="194"/>
        <v>0.14293905531275086</v>
      </c>
      <c r="K1219" s="95" t="s">
        <v>272</v>
      </c>
      <c r="L1219" s="119">
        <v>84.85</v>
      </c>
      <c r="M1219" s="41">
        <f t="shared" si="195"/>
        <v>76.818</v>
      </c>
      <c r="N1219" s="117">
        <v>103.69</v>
      </c>
      <c r="O1219" s="121">
        <v>42230</v>
      </c>
      <c r="P1219" s="116" t="s">
        <v>48</v>
      </c>
      <c r="Q1219" s="117">
        <v>99.24</v>
      </c>
      <c r="R1219" s="118">
        <f>Q1219*0.855</f>
        <v>84.8502</v>
      </c>
      <c r="S1219" s="117">
        <f>1.11*C1219</f>
        <v>91.686</v>
      </c>
      <c r="T1219" s="116"/>
      <c r="V1219" s="15"/>
      <c r="W1219" s="29"/>
    </row>
    <row r="1220" spans="1:23" s="114" customFormat="1" ht="15">
      <c r="A1220" s="12" t="s">
        <v>48</v>
      </c>
      <c r="B1220" s="65">
        <v>42177.37013888889</v>
      </c>
      <c r="C1220" s="14">
        <v>84.55</v>
      </c>
      <c r="D1220" s="15">
        <v>550</v>
      </c>
      <c r="E1220" s="15">
        <f t="shared" si="191"/>
        <v>46513.5</v>
      </c>
      <c r="F1220" s="13"/>
      <c r="G1220" s="14">
        <v>94.42</v>
      </c>
      <c r="H1220" s="15">
        <f t="shared" si="192"/>
        <v>51931</v>
      </c>
      <c r="I1220" s="16">
        <f t="shared" si="193"/>
        <v>5417.5</v>
      </c>
      <c r="J1220" s="19">
        <f t="shared" si="194"/>
        <v>0.11647156201962872</v>
      </c>
      <c r="K1220" s="95" t="s">
        <v>274</v>
      </c>
      <c r="L1220" s="119">
        <v>84.85</v>
      </c>
      <c r="M1220" s="41">
        <f t="shared" si="195"/>
        <v>78.6315</v>
      </c>
      <c r="N1220" s="117">
        <v>103.69</v>
      </c>
      <c r="O1220" s="116"/>
      <c r="P1220" s="116" t="s">
        <v>48</v>
      </c>
      <c r="Q1220" s="117"/>
      <c r="R1220" s="118"/>
      <c r="S1220" s="117"/>
      <c r="T1220" s="116"/>
      <c r="V1220" s="15"/>
      <c r="W1220" s="29"/>
    </row>
    <row r="1221" spans="1:23" s="114" customFormat="1" ht="15">
      <c r="A1221" s="12" t="s">
        <v>48</v>
      </c>
      <c r="B1221" s="65">
        <v>42178.302777777775</v>
      </c>
      <c r="C1221" s="14">
        <v>86.26</v>
      </c>
      <c r="D1221" s="15">
        <v>350</v>
      </c>
      <c r="E1221" s="15">
        <f t="shared" si="191"/>
        <v>30202</v>
      </c>
      <c r="F1221" s="13"/>
      <c r="G1221" s="14">
        <v>94.42</v>
      </c>
      <c r="H1221" s="15">
        <f t="shared" si="192"/>
        <v>33047</v>
      </c>
      <c r="I1221" s="16">
        <f t="shared" si="193"/>
        <v>2845</v>
      </c>
      <c r="J1221" s="19">
        <f t="shared" si="194"/>
        <v>0.09419905966492285</v>
      </c>
      <c r="K1221" s="95" t="s">
        <v>275</v>
      </c>
      <c r="L1221" s="119">
        <v>84.85</v>
      </c>
      <c r="M1221" s="41">
        <f t="shared" si="195"/>
        <v>80.22180000000002</v>
      </c>
      <c r="N1221" s="117">
        <v>103.69</v>
      </c>
      <c r="O1221" s="116"/>
      <c r="P1221" s="116" t="s">
        <v>48</v>
      </c>
      <c r="Q1221" s="117"/>
      <c r="R1221" s="118"/>
      <c r="S1221" s="117"/>
      <c r="T1221" s="116"/>
      <c r="V1221" s="15"/>
      <c r="W1221" s="29"/>
    </row>
    <row r="1222" spans="1:20" s="114" customFormat="1" ht="15">
      <c r="A1222" s="12" t="s">
        <v>48</v>
      </c>
      <c r="B1222" s="13">
        <v>42202.27291666667</v>
      </c>
      <c r="C1222" s="14">
        <v>93.22</v>
      </c>
      <c r="D1222" s="15">
        <v>370</v>
      </c>
      <c r="E1222" s="15">
        <f t="shared" si="191"/>
        <v>34502.4</v>
      </c>
      <c r="F1222" s="13"/>
      <c r="G1222" s="14">
        <v>94.42</v>
      </c>
      <c r="H1222" s="15">
        <f t="shared" si="192"/>
        <v>34935.4</v>
      </c>
      <c r="I1222" s="16">
        <f t="shared" si="193"/>
        <v>433</v>
      </c>
      <c r="J1222" s="19">
        <f t="shared" si="194"/>
        <v>0.012549851604526062</v>
      </c>
      <c r="K1222" s="95" t="s">
        <v>289</v>
      </c>
      <c r="L1222" s="119"/>
      <c r="M1222" s="20">
        <f t="shared" si="195"/>
        <v>86.69460000000001</v>
      </c>
      <c r="N1222" s="117">
        <v>103.69</v>
      </c>
      <c r="P1222" s="116" t="s">
        <v>48</v>
      </c>
      <c r="Q1222" s="117"/>
      <c r="R1222" s="117"/>
      <c r="S1222" s="117"/>
      <c r="T1222" s="116"/>
    </row>
    <row r="1223" spans="1:20" s="114" customFormat="1" ht="15">
      <c r="A1223" s="12" t="s">
        <v>68</v>
      </c>
      <c r="B1223" s="13">
        <v>42201.29722222222</v>
      </c>
      <c r="C1223" s="14">
        <v>68.35</v>
      </c>
      <c r="D1223" s="15">
        <v>600</v>
      </c>
      <c r="E1223" s="15">
        <f t="shared" si="191"/>
        <v>41021</v>
      </c>
      <c r="F1223" s="13"/>
      <c r="G1223" s="14">
        <v>103.92</v>
      </c>
      <c r="H1223" s="15">
        <f t="shared" si="192"/>
        <v>62352</v>
      </c>
      <c r="I1223" s="16">
        <f t="shared" si="193"/>
        <v>21331</v>
      </c>
      <c r="J1223" s="19">
        <f t="shared" si="194"/>
        <v>0.5200019502206187</v>
      </c>
      <c r="K1223" s="95" t="s">
        <v>312</v>
      </c>
      <c r="L1223" s="119">
        <v>94.63</v>
      </c>
      <c r="M1223" s="41">
        <f t="shared" si="195"/>
        <v>63.5655</v>
      </c>
      <c r="N1223" s="117">
        <v>86.66</v>
      </c>
      <c r="O1223" s="121">
        <v>42256</v>
      </c>
      <c r="P1223" s="116" t="s">
        <v>68</v>
      </c>
      <c r="Q1223" s="117">
        <v>110.68</v>
      </c>
      <c r="R1223" s="118">
        <f>Q1223*0.855</f>
        <v>94.6314</v>
      </c>
      <c r="S1223" s="117">
        <f>1.11*C1223</f>
        <v>75.8685</v>
      </c>
      <c r="T1223" s="116"/>
    </row>
    <row r="1224" spans="1:20" s="114" customFormat="1" ht="15">
      <c r="A1224" s="12" t="s">
        <v>68</v>
      </c>
      <c r="B1224" s="13">
        <v>42202.285416666666</v>
      </c>
      <c r="C1224" s="14">
        <v>69.54</v>
      </c>
      <c r="D1224" s="15">
        <v>350</v>
      </c>
      <c r="E1224" s="15">
        <f t="shared" si="191"/>
        <v>24350.000000000004</v>
      </c>
      <c r="F1224" s="13"/>
      <c r="G1224" s="14">
        <v>103.92</v>
      </c>
      <c r="H1224" s="15">
        <f t="shared" si="192"/>
        <v>36372</v>
      </c>
      <c r="I1224" s="16">
        <f t="shared" si="193"/>
        <v>12021.999999999996</v>
      </c>
      <c r="J1224" s="19">
        <f t="shared" si="194"/>
        <v>0.4937166324435316</v>
      </c>
      <c r="K1224" s="95" t="s">
        <v>296</v>
      </c>
      <c r="L1224" s="119">
        <v>94.63</v>
      </c>
      <c r="M1224" s="41">
        <f t="shared" si="195"/>
        <v>64.6722</v>
      </c>
      <c r="N1224" s="117">
        <v>86.66</v>
      </c>
      <c r="P1224" s="116" t="s">
        <v>68</v>
      </c>
      <c r="Q1224" s="117"/>
      <c r="R1224" s="117"/>
      <c r="S1224" s="117"/>
      <c r="T1224" s="116"/>
    </row>
    <row r="1225" spans="1:20" s="114" customFormat="1" ht="15">
      <c r="A1225" s="12" t="s">
        <v>68</v>
      </c>
      <c r="B1225" s="13">
        <v>42202.46527777778</v>
      </c>
      <c r="C1225" s="14">
        <v>71.51</v>
      </c>
      <c r="D1225" s="15">
        <v>230</v>
      </c>
      <c r="E1225" s="15">
        <f t="shared" si="191"/>
        <v>16458.300000000003</v>
      </c>
      <c r="F1225" s="13"/>
      <c r="G1225" s="14">
        <v>103.92</v>
      </c>
      <c r="H1225" s="15">
        <f t="shared" si="192"/>
        <v>23901.600000000002</v>
      </c>
      <c r="I1225" s="16">
        <f t="shared" si="193"/>
        <v>7443.299999999999</v>
      </c>
      <c r="J1225" s="19">
        <f t="shared" si="194"/>
        <v>0.4522520551940357</v>
      </c>
      <c r="K1225" s="95" t="s">
        <v>297</v>
      </c>
      <c r="L1225" s="119">
        <v>94.63</v>
      </c>
      <c r="M1225" s="41">
        <f t="shared" si="195"/>
        <v>66.50430000000001</v>
      </c>
      <c r="N1225" s="117">
        <v>86.66</v>
      </c>
      <c r="P1225" s="116" t="s">
        <v>68</v>
      </c>
      <c r="Q1225" s="117"/>
      <c r="R1225" s="117"/>
      <c r="S1225" s="117"/>
      <c r="T1225" s="116"/>
    </row>
    <row r="1226" spans="1:20" s="114" customFormat="1" ht="15">
      <c r="A1226" s="12" t="s">
        <v>68</v>
      </c>
      <c r="B1226" s="13">
        <v>42215.32430555556</v>
      </c>
      <c r="C1226" s="14">
        <v>76.97</v>
      </c>
      <c r="D1226" s="15">
        <v>240</v>
      </c>
      <c r="E1226" s="15">
        <f t="shared" si="191"/>
        <v>18483.8</v>
      </c>
      <c r="F1226" s="13"/>
      <c r="G1226" s="14">
        <v>103.92</v>
      </c>
      <c r="H1226" s="15">
        <f t="shared" si="192"/>
        <v>24940.8</v>
      </c>
      <c r="I1226" s="16">
        <f t="shared" si="193"/>
        <v>6457</v>
      </c>
      <c r="J1226" s="19">
        <f t="shared" si="194"/>
        <v>0.34933292937599414</v>
      </c>
      <c r="K1226" s="95" t="s">
        <v>303</v>
      </c>
      <c r="L1226" s="119">
        <v>94.63</v>
      </c>
      <c r="M1226" s="41">
        <f t="shared" si="195"/>
        <v>71.5821</v>
      </c>
      <c r="P1226" s="116" t="s">
        <v>68</v>
      </c>
      <c r="Q1226" s="117"/>
      <c r="R1226" s="117"/>
      <c r="S1226" s="117"/>
      <c r="T1226" s="116"/>
    </row>
    <row r="1227" spans="1:20" s="114" customFormat="1" ht="15">
      <c r="A1227" s="12" t="s">
        <v>313</v>
      </c>
      <c r="B1227" s="13">
        <v>42220.27222222222</v>
      </c>
      <c r="C1227" s="14">
        <v>86.35</v>
      </c>
      <c r="D1227" s="15">
        <v>290</v>
      </c>
      <c r="E1227" s="15">
        <f t="shared" si="191"/>
        <v>25052.5</v>
      </c>
      <c r="F1227" s="13"/>
      <c r="G1227" s="14">
        <v>103.92</v>
      </c>
      <c r="H1227" s="15">
        <f t="shared" si="192"/>
        <v>30136.8</v>
      </c>
      <c r="I1227" s="16">
        <f t="shared" si="193"/>
        <v>5084.299999999999</v>
      </c>
      <c r="J1227" s="19">
        <f t="shared" si="194"/>
        <v>0.2029458137910388</v>
      </c>
      <c r="K1227" s="95" t="s">
        <v>314</v>
      </c>
      <c r="L1227" s="119">
        <v>94.63</v>
      </c>
      <c r="M1227" s="41">
        <f t="shared" si="195"/>
        <v>80.3055</v>
      </c>
      <c r="N1227" s="117">
        <v>86.66</v>
      </c>
      <c r="P1227" s="116" t="s">
        <v>68</v>
      </c>
      <c r="Q1227" s="117"/>
      <c r="R1227" s="117"/>
      <c r="S1227" s="117"/>
      <c r="T1227" s="116"/>
    </row>
    <row r="1228" spans="1:20" s="114" customFormat="1" ht="15">
      <c r="A1228" s="12" t="s">
        <v>65</v>
      </c>
      <c r="B1228" s="13">
        <v>42221.27638888889</v>
      </c>
      <c r="C1228" s="14">
        <v>36.01</v>
      </c>
      <c r="D1228" s="15">
        <v>2800</v>
      </c>
      <c r="E1228" s="15">
        <f t="shared" si="191"/>
        <v>100839</v>
      </c>
      <c r="F1228" s="13"/>
      <c r="G1228" s="14">
        <v>38.35</v>
      </c>
      <c r="H1228" s="15">
        <f t="shared" si="192"/>
        <v>107380</v>
      </c>
      <c r="I1228" s="16">
        <f t="shared" si="193"/>
        <v>6541</v>
      </c>
      <c r="J1228" s="19">
        <f t="shared" si="194"/>
        <v>0.06486577613820049</v>
      </c>
      <c r="K1228" s="95" t="s">
        <v>315</v>
      </c>
      <c r="L1228" s="119"/>
      <c r="M1228" s="20">
        <f t="shared" si="195"/>
        <v>33.4893</v>
      </c>
      <c r="N1228" s="117">
        <v>40.96</v>
      </c>
      <c r="O1228" s="148">
        <f>WORKDAY(B1228,40,'Weekly Summary'!P$2:P$10)</f>
        <v>42278</v>
      </c>
      <c r="P1228" s="116" t="s">
        <v>65</v>
      </c>
      <c r="Q1228" s="117"/>
      <c r="R1228" s="117"/>
      <c r="S1228" s="117">
        <f>1.11*C1228</f>
        <v>39.9711</v>
      </c>
      <c r="T1228" s="116"/>
    </row>
    <row r="1229" spans="1:20" s="114" customFormat="1" ht="15">
      <c r="A1229" s="12" t="s">
        <v>65</v>
      </c>
      <c r="B1229" s="13">
        <v>42221.322222222225</v>
      </c>
      <c r="C1229" s="14">
        <v>37.24</v>
      </c>
      <c r="D1229" s="15">
        <v>1700</v>
      </c>
      <c r="E1229" s="15">
        <f t="shared" si="191"/>
        <v>63319</v>
      </c>
      <c r="F1229" s="13"/>
      <c r="G1229" s="14">
        <v>38.35</v>
      </c>
      <c r="H1229" s="15">
        <f t="shared" si="192"/>
        <v>65195</v>
      </c>
      <c r="I1229" s="16">
        <f t="shared" si="193"/>
        <v>1876</v>
      </c>
      <c r="J1229" s="19">
        <f t="shared" si="194"/>
        <v>0.029627757860989593</v>
      </c>
      <c r="K1229" s="95" t="s">
        <v>317</v>
      </c>
      <c r="L1229" s="119"/>
      <c r="M1229" s="20">
        <f t="shared" si="195"/>
        <v>34.6332</v>
      </c>
      <c r="N1229" s="117">
        <v>40.96</v>
      </c>
      <c r="P1229" s="116" t="s">
        <v>65</v>
      </c>
      <c r="Q1229" s="117"/>
      <c r="R1229" s="117"/>
      <c r="S1229" s="117"/>
      <c r="T1229" s="116"/>
    </row>
    <row r="1230" spans="1:20" s="114" customFormat="1" ht="15">
      <c r="A1230" s="12" t="s">
        <v>65</v>
      </c>
      <c r="B1230" s="13">
        <v>42221.35763888889</v>
      </c>
      <c r="C1230" s="14">
        <v>37.53</v>
      </c>
      <c r="D1230" s="15">
        <v>1000</v>
      </c>
      <c r="E1230" s="15">
        <f t="shared" si="191"/>
        <v>37541</v>
      </c>
      <c r="F1230" s="13"/>
      <c r="G1230" s="14">
        <v>38.35</v>
      </c>
      <c r="H1230" s="15">
        <f t="shared" si="192"/>
        <v>38350</v>
      </c>
      <c r="I1230" s="16">
        <f t="shared" si="193"/>
        <v>809</v>
      </c>
      <c r="J1230" s="19">
        <f t="shared" si="194"/>
        <v>0.02154977224900775</v>
      </c>
      <c r="K1230" s="95" t="s">
        <v>316</v>
      </c>
      <c r="L1230" s="119"/>
      <c r="M1230" s="20">
        <f t="shared" si="195"/>
        <v>34.9029</v>
      </c>
      <c r="N1230" s="117">
        <v>40.96</v>
      </c>
      <c r="P1230" s="116" t="s">
        <v>65</v>
      </c>
      <c r="Q1230" s="117"/>
      <c r="R1230" s="117"/>
      <c r="S1230" s="117"/>
      <c r="T1230" s="116"/>
    </row>
    <row r="1231" spans="1:20" s="114" customFormat="1" ht="15">
      <c r="A1231" s="12" t="s">
        <v>40</v>
      </c>
      <c r="B1231" s="13"/>
      <c r="C1231" s="14">
        <v>208.07</v>
      </c>
      <c r="D1231" s="15">
        <v>500</v>
      </c>
      <c r="E1231" s="15">
        <f t="shared" si="191"/>
        <v>104046</v>
      </c>
      <c r="F1231" s="152">
        <v>42221.36666666667</v>
      </c>
      <c r="G1231" s="150">
        <v>217.87</v>
      </c>
      <c r="H1231" s="151">
        <f t="shared" si="192"/>
        <v>108935</v>
      </c>
      <c r="I1231" s="16">
        <f t="shared" si="193"/>
        <v>4889</v>
      </c>
      <c r="J1231" s="19">
        <f t="shared" si="194"/>
        <v>0.0469888318628299</v>
      </c>
      <c r="K1231" s="95" t="s">
        <v>336</v>
      </c>
      <c r="L1231" s="154">
        <v>218.5</v>
      </c>
      <c r="M1231" s="153">
        <f t="shared" si="195"/>
        <v>193.5051</v>
      </c>
      <c r="N1231" s="117"/>
      <c r="O1231" s="114" t="s">
        <v>357</v>
      </c>
      <c r="P1231" s="116" t="s">
        <v>40</v>
      </c>
      <c r="Q1231" s="117"/>
      <c r="R1231" s="117"/>
      <c r="S1231" s="117"/>
      <c r="T1231" s="116"/>
    </row>
    <row r="1232" spans="1:20" s="114" customFormat="1" ht="15">
      <c r="A1232" s="12" t="s">
        <v>355</v>
      </c>
      <c r="B1232" s="13"/>
      <c r="C1232" s="14">
        <v>107.82</v>
      </c>
      <c r="D1232" s="15">
        <v>750</v>
      </c>
      <c r="E1232" s="15">
        <f t="shared" si="191"/>
        <v>80876</v>
      </c>
      <c r="F1232" s="152">
        <v>42227.27777777778</v>
      </c>
      <c r="G1232" s="150">
        <v>115.2</v>
      </c>
      <c r="H1232" s="151">
        <f t="shared" si="192"/>
        <v>86400</v>
      </c>
      <c r="I1232" s="16">
        <f t="shared" si="193"/>
        <v>5524</v>
      </c>
      <c r="J1232" s="19">
        <f t="shared" si="194"/>
        <v>0.06830209209159702</v>
      </c>
      <c r="K1232" s="95" t="s">
        <v>358</v>
      </c>
      <c r="L1232" s="154">
        <v>117.5</v>
      </c>
      <c r="M1232" s="153">
        <f t="shared" si="195"/>
        <v>100.2726</v>
      </c>
      <c r="N1232" s="117"/>
      <c r="O1232" s="114" t="s">
        <v>357</v>
      </c>
      <c r="P1232" s="116" t="s">
        <v>356</v>
      </c>
      <c r="Q1232" s="117"/>
      <c r="R1232" s="117"/>
      <c r="S1232" s="117"/>
      <c r="T1232" s="116"/>
    </row>
    <row r="1233" spans="1:20" s="114" customFormat="1" ht="15">
      <c r="A1233" s="12"/>
      <c r="B1233" s="13"/>
      <c r="C1233" s="14"/>
      <c r="D1233" s="15"/>
      <c r="E1233" s="15"/>
      <c r="G1233" s="14"/>
      <c r="H1233" s="15"/>
      <c r="I1233" s="16"/>
      <c r="J1233" s="19"/>
      <c r="K1233" s="95"/>
      <c r="L1233" s="119"/>
      <c r="M1233" s="32"/>
      <c r="N1233" s="117"/>
      <c r="P1233" s="116"/>
      <c r="Q1233" s="117"/>
      <c r="R1233" s="117"/>
      <c r="S1233" s="117"/>
      <c r="T1233" s="116"/>
    </row>
    <row r="1234" spans="1:33" s="114" customFormat="1" ht="15">
      <c r="A1234" s="21" t="s">
        <v>14</v>
      </c>
      <c r="B1234" s="22"/>
      <c r="C1234" s="23"/>
      <c r="D1234" s="24"/>
      <c r="E1234" s="24">
        <f>SUM(E1201:E1233)</f>
        <v>1146294.8</v>
      </c>
      <c r="F1234" s="13"/>
      <c r="G1234" s="23"/>
      <c r="H1234" s="24">
        <f>SUM(H1201:H1233)</f>
        <v>1393509.85</v>
      </c>
      <c r="I1234" s="25">
        <f>SUM(I1201:I1233)</f>
        <v>247215.04999999996</v>
      </c>
      <c r="J1234" s="26">
        <f>I1234/E1234</f>
        <v>0.2156644608350312</v>
      </c>
      <c r="K1234" s="27" t="s">
        <v>15</v>
      </c>
      <c r="L1234" s="28">
        <f>100000+I1236</f>
        <v>573208.7599999999</v>
      </c>
      <c r="M1234" s="81"/>
      <c r="N1234" s="89"/>
      <c r="Q1234" s="117"/>
      <c r="R1234" s="117"/>
      <c r="S1234" s="117"/>
      <c r="T1234" s="116"/>
      <c r="X1234" s="114" t="s">
        <v>371</v>
      </c>
      <c r="Z1234" s="114" t="s">
        <v>17</v>
      </c>
      <c r="AC1234" s="114" t="s">
        <v>372</v>
      </c>
      <c r="AE1234" s="114" t="s">
        <v>373</v>
      </c>
      <c r="AG1234" s="114" t="s">
        <v>374</v>
      </c>
    </row>
    <row r="1235" spans="1:33" s="114" customFormat="1" ht="15">
      <c r="A1235" s="12" t="s">
        <v>67</v>
      </c>
      <c r="B1235" s="22"/>
      <c r="C1235" s="25">
        <f>I1236-I1196</f>
        <v>31403.84999999992</v>
      </c>
      <c r="D1235" s="26">
        <f>C1235/H1194</f>
        <v>0.02448748289400319</v>
      </c>
      <c r="E1235" s="24"/>
      <c r="F1235" s="22" t="s">
        <v>16</v>
      </c>
      <c r="G1235" s="117"/>
      <c r="H1235" s="29" t="str">
        <f>IF(ABS(H1234-E1234-I1234)&lt;1,"","ERROR")</f>
        <v/>
      </c>
      <c r="I1235" s="16">
        <v>225993.70999999996</v>
      </c>
      <c r="J1235" s="26"/>
      <c r="K1235" s="111" t="s">
        <v>17</v>
      </c>
      <c r="L1235" s="28">
        <f>(2*(100000+I1236))-E1234</f>
        <v>122.71999999973923</v>
      </c>
      <c r="M1235" s="31"/>
      <c r="Q1235" s="117"/>
      <c r="R1235" s="117"/>
      <c r="S1235" s="117"/>
      <c r="T1235" s="116"/>
      <c r="X1235" s="29">
        <f>E1234-E1232-E1231</f>
        <v>961372.8</v>
      </c>
      <c r="Z1235" s="29">
        <f>E1234+L1235</f>
        <v>1146417.5199999998</v>
      </c>
      <c r="AC1235" s="29">
        <f>H1232+H1231</f>
        <v>195335</v>
      </c>
      <c r="AE1235" s="29">
        <f>X1235-AC1235</f>
        <v>766037.8</v>
      </c>
      <c r="AG1235" s="155">
        <f>AE1235/Z1235</f>
        <v>0.668201407110387</v>
      </c>
    </row>
    <row r="1236" spans="1:20" s="114" customFormat="1" ht="15">
      <c r="A1236" s="12" t="s">
        <v>54</v>
      </c>
      <c r="B1236" s="22"/>
      <c r="C1236" s="25">
        <f>L1234-L1194</f>
        <v>31403.849999999977</v>
      </c>
      <c r="D1236" s="26">
        <f>C1236/L1194</f>
        <v>0.057961545605040715</v>
      </c>
      <c r="E1236" s="24"/>
      <c r="F1236" s="22" t="s">
        <v>18</v>
      </c>
      <c r="G1236" s="117"/>
      <c r="H1236" s="29"/>
      <c r="I1236" s="30">
        <f>I1234+I1235</f>
        <v>473208.7599999999</v>
      </c>
      <c r="J1236" s="26">
        <f>I1236/100000</f>
        <v>4.732087599999999</v>
      </c>
      <c r="K1236" s="111" t="s">
        <v>19</v>
      </c>
      <c r="L1236" s="26">
        <f>E1234/(2*(100000+I1236))</f>
        <v>0.9998929534852191</v>
      </c>
      <c r="M1236" s="31"/>
      <c r="Q1236" s="117"/>
      <c r="R1236" s="117"/>
      <c r="S1236" s="117"/>
      <c r="T1236" s="116"/>
    </row>
    <row r="1237" spans="1:20" s="114" customFormat="1" ht="15">
      <c r="A1237" s="114">
        <v>8</v>
      </c>
      <c r="B1237" s="22"/>
      <c r="C1237" s="25"/>
      <c r="D1237" s="26"/>
      <c r="E1237" s="24"/>
      <c r="G1237" s="117"/>
      <c r="H1237" s="29"/>
      <c r="I1237" s="30"/>
      <c r="J1237" s="26"/>
      <c r="K1237" s="111"/>
      <c r="L1237" s="26"/>
      <c r="M1237" s="31"/>
      <c r="Q1237" s="117"/>
      <c r="R1237" s="117"/>
      <c r="S1237" s="117"/>
      <c r="T1237" s="116"/>
    </row>
    <row r="1238" spans="2:20" s="114" customFormat="1" ht="15">
      <c r="B1238" s="22"/>
      <c r="C1238" s="25"/>
      <c r="D1238" s="26"/>
      <c r="E1238" s="24"/>
      <c r="F1238" s="22"/>
      <c r="G1238" s="117"/>
      <c r="H1238" s="29"/>
      <c r="I1238" s="30"/>
      <c r="J1238" s="26"/>
      <c r="K1238" s="111"/>
      <c r="L1238" s="26"/>
      <c r="M1238" s="31"/>
      <c r="Q1238" s="117"/>
      <c r="R1238" s="117"/>
      <c r="S1238" s="117"/>
      <c r="T1238" s="116"/>
    </row>
    <row r="1239" spans="1:20" s="114" customFormat="1" ht="30.75" customHeight="1">
      <c r="A1239" s="130" t="s">
        <v>62</v>
      </c>
      <c r="B1239" s="384" t="s">
        <v>337</v>
      </c>
      <c r="C1239" s="384"/>
      <c r="D1239" s="384"/>
      <c r="E1239" s="384"/>
      <c r="F1239" s="384"/>
      <c r="G1239" s="384"/>
      <c r="H1239" s="384"/>
      <c r="I1239" s="384"/>
      <c r="J1239" s="384"/>
      <c r="K1239" s="384"/>
      <c r="L1239" s="384"/>
      <c r="M1239" s="384"/>
      <c r="N1239" s="384"/>
      <c r="O1239" s="92"/>
      <c r="P1239" s="92"/>
      <c r="Q1239" s="104"/>
      <c r="R1239" s="104"/>
      <c r="S1239" s="107"/>
      <c r="T1239" s="109"/>
    </row>
    <row r="1240" spans="1:22" s="114" customFormat="1" ht="15">
      <c r="A1240" s="2" t="s">
        <v>0</v>
      </c>
      <c r="B1240" s="3" t="s">
        <v>1</v>
      </c>
      <c r="C1240" s="4" t="s">
        <v>2</v>
      </c>
      <c r="D1240" s="5" t="s">
        <v>3</v>
      </c>
      <c r="E1240" s="6" t="s">
        <v>4</v>
      </c>
      <c r="F1240" s="3" t="s">
        <v>5</v>
      </c>
      <c r="G1240" s="7" t="s">
        <v>2</v>
      </c>
      <c r="H1240" s="6" t="s">
        <v>6</v>
      </c>
      <c r="I1240" s="6" t="s">
        <v>7</v>
      </c>
      <c r="J1240" s="8" t="s">
        <v>8</v>
      </c>
      <c r="K1240" s="9" t="s">
        <v>9</v>
      </c>
      <c r="L1240" s="10" t="s">
        <v>10</v>
      </c>
      <c r="M1240" s="11" t="s">
        <v>11</v>
      </c>
      <c r="N1240" s="103" t="s">
        <v>53</v>
      </c>
      <c r="O1240" s="105" t="s">
        <v>110</v>
      </c>
      <c r="P1240" s="106" t="s">
        <v>0</v>
      </c>
      <c r="Q1240" s="117" t="s">
        <v>13</v>
      </c>
      <c r="R1240" s="117" t="s">
        <v>70</v>
      </c>
      <c r="S1240" s="111" t="s">
        <v>103</v>
      </c>
      <c r="T1240" s="116" t="s">
        <v>107</v>
      </c>
      <c r="V1240" s="9"/>
    </row>
    <row r="1241" spans="1:20" s="114" customFormat="1" ht="15">
      <c r="A1241" s="12" t="s">
        <v>65</v>
      </c>
      <c r="B1241" s="13">
        <v>42221.27638888889</v>
      </c>
      <c r="C1241" s="14">
        <v>36.01</v>
      </c>
      <c r="D1241" s="15">
        <v>2800</v>
      </c>
      <c r="E1241" s="15">
        <f aca="true" t="shared" si="196" ref="E1241:E1246">C1241*D1241+11</f>
        <v>100839</v>
      </c>
      <c r="F1241" s="13"/>
      <c r="G1241" s="14">
        <v>37.93</v>
      </c>
      <c r="H1241" s="15">
        <f aca="true" t="shared" si="197" ref="H1241:H1246">G1241*D1241</f>
        <v>106204</v>
      </c>
      <c r="I1241" s="16">
        <f aca="true" t="shared" si="198" ref="I1241:I1246">H1241-E1241</f>
        <v>5365</v>
      </c>
      <c r="J1241" s="19">
        <f aca="true" t="shared" si="199" ref="J1241:J1246">I1241/E1241</f>
        <v>0.053203621614653064</v>
      </c>
      <c r="K1241" s="95" t="s">
        <v>315</v>
      </c>
      <c r="L1241" s="119">
        <v>35.55</v>
      </c>
      <c r="M1241" s="41">
        <f aca="true" t="shared" si="200" ref="M1241:M1246">C1241*0.93</f>
        <v>33.4893</v>
      </c>
      <c r="N1241" s="117">
        <v>40.96</v>
      </c>
      <c r="O1241" s="121">
        <v>42290</v>
      </c>
      <c r="P1241" s="116" t="s">
        <v>65</v>
      </c>
      <c r="Q1241" s="117">
        <v>41.58</v>
      </c>
      <c r="R1241" s="118">
        <f>Q1241*0.855</f>
        <v>35.5509</v>
      </c>
      <c r="S1241" s="117">
        <f>1.11*C1241</f>
        <v>39.9711</v>
      </c>
      <c r="T1241" s="116"/>
    </row>
    <row r="1242" spans="1:20" s="114" customFormat="1" ht="15">
      <c r="A1242" s="12" t="s">
        <v>65</v>
      </c>
      <c r="B1242" s="13">
        <v>42221.322222222225</v>
      </c>
      <c r="C1242" s="14">
        <v>37.24</v>
      </c>
      <c r="D1242" s="15">
        <v>1700</v>
      </c>
      <c r="E1242" s="15">
        <f t="shared" si="196"/>
        <v>63319</v>
      </c>
      <c r="F1242" s="13"/>
      <c r="G1242" s="14">
        <v>37.93</v>
      </c>
      <c r="H1242" s="15">
        <f t="shared" si="197"/>
        <v>64481</v>
      </c>
      <c r="I1242" s="16">
        <f t="shared" si="198"/>
        <v>1162</v>
      </c>
      <c r="J1242" s="19">
        <f t="shared" si="199"/>
        <v>0.018351521660165196</v>
      </c>
      <c r="K1242" s="95" t="s">
        <v>317</v>
      </c>
      <c r="L1242" s="119">
        <v>35.55</v>
      </c>
      <c r="M1242" s="41">
        <f t="shared" si="200"/>
        <v>34.6332</v>
      </c>
      <c r="N1242" s="117">
        <v>40.96</v>
      </c>
      <c r="P1242" s="116" t="s">
        <v>65</v>
      </c>
      <c r="Q1242" s="117"/>
      <c r="R1242" s="117"/>
      <c r="S1242" s="117"/>
      <c r="T1242" s="116"/>
    </row>
    <row r="1243" spans="1:20" s="114" customFormat="1" ht="15">
      <c r="A1243" s="12" t="s">
        <v>65</v>
      </c>
      <c r="B1243" s="13">
        <v>42221.35763888889</v>
      </c>
      <c r="C1243" s="14">
        <v>37.53</v>
      </c>
      <c r="D1243" s="15">
        <v>1000</v>
      </c>
      <c r="E1243" s="15">
        <f t="shared" si="196"/>
        <v>37541</v>
      </c>
      <c r="F1243" s="13"/>
      <c r="G1243" s="14">
        <v>37.93</v>
      </c>
      <c r="H1243" s="15">
        <f t="shared" si="197"/>
        <v>37930</v>
      </c>
      <c r="I1243" s="16">
        <f t="shared" si="198"/>
        <v>389</v>
      </c>
      <c r="J1243" s="19">
        <f t="shared" si="199"/>
        <v>0.010362004208731786</v>
      </c>
      <c r="K1243" s="95" t="s">
        <v>316</v>
      </c>
      <c r="L1243" s="119">
        <v>35.55</v>
      </c>
      <c r="M1243" s="41">
        <f t="shared" si="200"/>
        <v>34.9029</v>
      </c>
      <c r="N1243" s="117">
        <v>40.96</v>
      </c>
      <c r="P1243" s="116" t="s">
        <v>65</v>
      </c>
      <c r="Q1243" s="117"/>
      <c r="R1243" s="117"/>
      <c r="S1243" s="117"/>
      <c r="T1243" s="116"/>
    </row>
    <row r="1244" spans="1:20" s="114" customFormat="1" ht="15">
      <c r="A1244" s="12" t="s">
        <v>40</v>
      </c>
      <c r="B1244" s="13"/>
      <c r="C1244" s="14">
        <v>199.95</v>
      </c>
      <c r="D1244" s="15">
        <v>500</v>
      </c>
      <c r="E1244" s="15">
        <f t="shared" si="196"/>
        <v>99986</v>
      </c>
      <c r="F1244" s="152">
        <v>42221.36666666667</v>
      </c>
      <c r="G1244" s="150">
        <v>217.87</v>
      </c>
      <c r="H1244" s="151">
        <f t="shared" si="197"/>
        <v>108935</v>
      </c>
      <c r="I1244" s="16">
        <f t="shared" si="198"/>
        <v>8949</v>
      </c>
      <c r="J1244" s="19">
        <f t="shared" si="199"/>
        <v>0.0895025303542496</v>
      </c>
      <c r="K1244" s="95" t="s">
        <v>336</v>
      </c>
      <c r="L1244" s="154">
        <v>218.5</v>
      </c>
      <c r="M1244" s="153">
        <f t="shared" si="200"/>
        <v>185.9535</v>
      </c>
      <c r="N1244" s="117"/>
      <c r="O1244" s="114" t="s">
        <v>357</v>
      </c>
      <c r="P1244" s="116" t="s">
        <v>40</v>
      </c>
      <c r="Q1244" s="117"/>
      <c r="R1244" s="117"/>
      <c r="S1244" s="117"/>
      <c r="T1244" s="116"/>
    </row>
    <row r="1245" spans="1:20" s="114" customFormat="1" ht="15">
      <c r="A1245" s="12" t="s">
        <v>355</v>
      </c>
      <c r="B1245" s="13"/>
      <c r="C1245" s="14">
        <v>94.77</v>
      </c>
      <c r="D1245" s="15">
        <v>750</v>
      </c>
      <c r="E1245" s="15">
        <f t="shared" si="196"/>
        <v>71088.5</v>
      </c>
      <c r="F1245" s="152">
        <v>42227.27777777778</v>
      </c>
      <c r="G1245" s="150">
        <v>115.2</v>
      </c>
      <c r="H1245" s="151">
        <f t="shared" si="197"/>
        <v>86400</v>
      </c>
      <c r="I1245" s="16">
        <f t="shared" si="198"/>
        <v>15311.5</v>
      </c>
      <c r="J1245" s="19">
        <f t="shared" si="199"/>
        <v>0.21538645491183525</v>
      </c>
      <c r="K1245" s="95" t="s">
        <v>358</v>
      </c>
      <c r="L1245" s="154">
        <v>117.5</v>
      </c>
      <c r="M1245" s="153">
        <f t="shared" si="200"/>
        <v>88.1361</v>
      </c>
      <c r="N1245" s="117"/>
      <c r="O1245" s="114" t="s">
        <v>357</v>
      </c>
      <c r="P1245" s="116" t="s">
        <v>356</v>
      </c>
      <c r="Q1245" s="117"/>
      <c r="R1245" s="117"/>
      <c r="S1245" s="117"/>
      <c r="T1245" s="116"/>
    </row>
    <row r="1246" spans="1:20" s="114" customFormat="1" ht="15">
      <c r="A1246" s="149" t="s">
        <v>36</v>
      </c>
      <c r="B1246" s="13"/>
      <c r="C1246" s="14">
        <v>230.77</v>
      </c>
      <c r="D1246" s="15">
        <v>400</v>
      </c>
      <c r="E1246" s="15">
        <f t="shared" si="196"/>
        <v>92319</v>
      </c>
      <c r="F1246" s="152">
        <v>42235.49930555555</v>
      </c>
      <c r="G1246" s="150">
        <v>256.06</v>
      </c>
      <c r="H1246" s="151">
        <f t="shared" si="197"/>
        <v>102424</v>
      </c>
      <c r="I1246" s="16">
        <f t="shared" si="198"/>
        <v>10105</v>
      </c>
      <c r="J1246" s="19">
        <f t="shared" si="199"/>
        <v>0.10945742479879549</v>
      </c>
      <c r="K1246" s="95" t="s">
        <v>360</v>
      </c>
      <c r="L1246" s="154">
        <v>262</v>
      </c>
      <c r="M1246" s="153">
        <f t="shared" si="200"/>
        <v>214.61610000000002</v>
      </c>
      <c r="N1246" s="117"/>
      <c r="O1246" s="114" t="s">
        <v>357</v>
      </c>
      <c r="P1246" s="116" t="s">
        <v>36</v>
      </c>
      <c r="Q1246" s="117"/>
      <c r="R1246" s="117"/>
      <c r="S1246" s="117"/>
      <c r="T1246" s="116"/>
    </row>
    <row r="1247" spans="1:20" s="114" customFormat="1" ht="15">
      <c r="A1247" s="12"/>
      <c r="B1247" s="13"/>
      <c r="C1247" s="14"/>
      <c r="D1247" s="15"/>
      <c r="E1247" s="15"/>
      <c r="G1247" s="14"/>
      <c r="H1247" s="15"/>
      <c r="I1247" s="16"/>
      <c r="J1247" s="19"/>
      <c r="K1247" s="95"/>
      <c r="L1247" s="119"/>
      <c r="M1247" s="32"/>
      <c r="N1247" s="117"/>
      <c r="P1247" s="116"/>
      <c r="Q1247" s="117"/>
      <c r="R1247" s="117"/>
      <c r="S1247" s="117"/>
      <c r="T1247" s="116"/>
    </row>
    <row r="1248" spans="1:33" s="114" customFormat="1" ht="15">
      <c r="A1248" s="21" t="s">
        <v>14</v>
      </c>
      <c r="B1248" s="22"/>
      <c r="C1248" s="23"/>
      <c r="D1248" s="24"/>
      <c r="E1248" s="24">
        <f>SUM(E1241:E1247)</f>
        <v>465092.5</v>
      </c>
      <c r="F1248" s="13"/>
      <c r="G1248" s="23"/>
      <c r="H1248" s="24">
        <f>SUM(H1241:H1247)</f>
        <v>506374</v>
      </c>
      <c r="I1248" s="25">
        <f>SUM(I1241:I1247)</f>
        <v>41281.5</v>
      </c>
      <c r="J1248" s="26">
        <f>I1248/E1248</f>
        <v>0.08875976284287534</v>
      </c>
      <c r="K1248" s="27" t="s">
        <v>15</v>
      </c>
      <c r="L1248" s="28">
        <f>100000+I1250</f>
        <v>546757.21</v>
      </c>
      <c r="M1248" s="81"/>
      <c r="N1248" s="89"/>
      <c r="Q1248" s="117"/>
      <c r="R1248" s="117"/>
      <c r="S1248" s="117"/>
      <c r="T1248" s="116"/>
      <c r="X1248" s="114" t="s">
        <v>371</v>
      </c>
      <c r="Z1248" s="114" t="s">
        <v>17</v>
      </c>
      <c r="AC1248" s="114" t="s">
        <v>372</v>
      </c>
      <c r="AE1248" s="114" t="s">
        <v>373</v>
      </c>
      <c r="AG1248" s="114" t="s">
        <v>374</v>
      </c>
    </row>
    <row r="1249" spans="1:33" s="114" customFormat="1" ht="15">
      <c r="A1249" s="12" t="s">
        <v>67</v>
      </c>
      <c r="B1249" s="22"/>
      <c r="C1249" s="25">
        <f>I1250-I1236</f>
        <v>-26451.549999999872</v>
      </c>
      <c r="D1249" s="26">
        <f>C1249/H1234</f>
        <v>-0.01898196126851911</v>
      </c>
      <c r="E1249" s="24"/>
      <c r="F1249" s="22" t="s">
        <v>16</v>
      </c>
      <c r="G1249" s="117"/>
      <c r="H1249" s="29" t="str">
        <f>IF(ABS(H1248-E1248-I1248)&lt;1,"","ERROR")</f>
        <v/>
      </c>
      <c r="I1249" s="16">
        <v>405475.71</v>
      </c>
      <c r="J1249" s="26"/>
      <c r="K1249" s="111" t="s">
        <v>17</v>
      </c>
      <c r="L1249" s="28">
        <f>(2*(100000+I1250))-E1248</f>
        <v>628421.9199999999</v>
      </c>
      <c r="M1249" s="31"/>
      <c r="Q1249" s="117"/>
      <c r="R1249" s="117"/>
      <c r="S1249" s="117"/>
      <c r="T1249" s="116"/>
      <c r="X1249" s="29">
        <f>E1248-E1246-E1245-E1244</f>
        <v>201699</v>
      </c>
      <c r="Z1249" s="29">
        <f>E1248+L1249</f>
        <v>1093514.42</v>
      </c>
      <c r="AC1249" s="29">
        <f>H1246+H1245+H1244</f>
        <v>297759</v>
      </c>
      <c r="AE1249" s="29">
        <f>X1249-AC1249</f>
        <v>-96060</v>
      </c>
      <c r="AG1249" s="155">
        <f>AE1249/Z1249</f>
        <v>-0.08784520646741907</v>
      </c>
    </row>
    <row r="1250" spans="1:20" s="114" customFormat="1" ht="15">
      <c r="A1250" s="12" t="s">
        <v>54</v>
      </c>
      <c r="B1250" s="22"/>
      <c r="C1250" s="25">
        <f>L1248-L1234</f>
        <v>-26451.54999999993</v>
      </c>
      <c r="D1250" s="26">
        <f>C1250/L1234</f>
        <v>-0.04614645107656752</v>
      </c>
      <c r="E1250" s="24"/>
      <c r="F1250" s="22" t="s">
        <v>18</v>
      </c>
      <c r="G1250" s="117"/>
      <c r="H1250" s="29"/>
      <c r="I1250" s="30">
        <f>I1248+I1249</f>
        <v>446757.21</v>
      </c>
      <c r="J1250" s="26">
        <f>I1250/100000</f>
        <v>4.4675721</v>
      </c>
      <c r="K1250" s="111" t="s">
        <v>19</v>
      </c>
      <c r="L1250" s="26">
        <f>E1248/(2*(100000+I1250))</f>
        <v>0.4253190369451187</v>
      </c>
      <c r="M1250" s="31"/>
      <c r="Q1250" s="117"/>
      <c r="R1250" s="117"/>
      <c r="S1250" s="117"/>
      <c r="T1250" s="116"/>
    </row>
    <row r="1251" spans="1:20" s="114" customFormat="1" ht="15">
      <c r="A1251" s="114">
        <v>4</v>
      </c>
      <c r="B1251" s="22"/>
      <c r="C1251" s="25"/>
      <c r="D1251" s="26"/>
      <c r="E1251" s="24"/>
      <c r="G1251" s="117"/>
      <c r="H1251" s="29"/>
      <c r="I1251" s="30"/>
      <c r="J1251" s="26"/>
      <c r="K1251" s="111"/>
      <c r="L1251" s="26"/>
      <c r="M1251" s="31"/>
      <c r="Q1251" s="117"/>
      <c r="R1251" s="117"/>
      <c r="S1251" s="117"/>
      <c r="T1251" s="116"/>
    </row>
    <row r="1252" spans="2:20" s="114" customFormat="1" ht="15">
      <c r="B1252" s="22"/>
      <c r="C1252" s="25"/>
      <c r="D1252" s="26"/>
      <c r="E1252" s="24"/>
      <c r="F1252" s="22"/>
      <c r="G1252" s="117"/>
      <c r="H1252" s="29"/>
      <c r="I1252" s="30"/>
      <c r="J1252" s="26"/>
      <c r="K1252" s="111"/>
      <c r="L1252" s="26"/>
      <c r="M1252" s="31"/>
      <c r="Q1252" s="117"/>
      <c r="R1252" s="117"/>
      <c r="S1252" s="117"/>
      <c r="T1252" s="116"/>
    </row>
    <row r="1253" spans="1:20" s="114" customFormat="1" ht="30.75" customHeight="1">
      <c r="A1253" s="138" t="s">
        <v>38</v>
      </c>
      <c r="B1253" s="384" t="s">
        <v>375</v>
      </c>
      <c r="C1253" s="384"/>
      <c r="D1253" s="384"/>
      <c r="E1253" s="384"/>
      <c r="F1253" s="384"/>
      <c r="G1253" s="384"/>
      <c r="H1253" s="384"/>
      <c r="I1253" s="384"/>
      <c r="J1253" s="384"/>
      <c r="K1253" s="384"/>
      <c r="L1253" s="384"/>
      <c r="M1253" s="384"/>
      <c r="N1253" s="384"/>
      <c r="O1253" s="92"/>
      <c r="P1253" s="92"/>
      <c r="Q1253" s="104"/>
      <c r="R1253" s="104"/>
      <c r="S1253" s="107"/>
      <c r="T1253" s="109"/>
    </row>
    <row r="1254" spans="1:22" s="114" customFormat="1" ht="15">
      <c r="A1254" s="2" t="s">
        <v>0</v>
      </c>
      <c r="B1254" s="3" t="s">
        <v>1</v>
      </c>
      <c r="C1254" s="4" t="s">
        <v>2</v>
      </c>
      <c r="D1254" s="5" t="s">
        <v>3</v>
      </c>
      <c r="E1254" s="6" t="s">
        <v>4</v>
      </c>
      <c r="F1254" s="3" t="s">
        <v>5</v>
      </c>
      <c r="G1254" s="7" t="s">
        <v>2</v>
      </c>
      <c r="H1254" s="6" t="s">
        <v>6</v>
      </c>
      <c r="I1254" s="6" t="s">
        <v>7</v>
      </c>
      <c r="J1254" s="8" t="s">
        <v>8</v>
      </c>
      <c r="K1254" s="9" t="s">
        <v>9</v>
      </c>
      <c r="L1254" s="10" t="s">
        <v>10</v>
      </c>
      <c r="M1254" s="11" t="s">
        <v>11</v>
      </c>
      <c r="N1254" s="103" t="s">
        <v>53</v>
      </c>
      <c r="O1254" s="105" t="s">
        <v>110</v>
      </c>
      <c r="P1254" s="106" t="s">
        <v>0</v>
      </c>
      <c r="Q1254" s="117" t="s">
        <v>13</v>
      </c>
      <c r="R1254" s="117" t="s">
        <v>70</v>
      </c>
      <c r="S1254" s="111" t="s">
        <v>103</v>
      </c>
      <c r="T1254" s="116" t="s">
        <v>107</v>
      </c>
      <c r="V1254" s="9"/>
    </row>
    <row r="1255" spans="1:20" s="114" customFormat="1" ht="15">
      <c r="A1255" s="12" t="s">
        <v>65</v>
      </c>
      <c r="B1255" s="13">
        <v>42221.27638888889</v>
      </c>
      <c r="C1255" s="14">
        <v>36.01</v>
      </c>
      <c r="D1255" s="15">
        <v>2800</v>
      </c>
      <c r="E1255" s="15">
        <f aca="true" t="shared" si="201" ref="E1255:E1261">C1255*D1255+11</f>
        <v>100839</v>
      </c>
      <c r="F1255" s="13"/>
      <c r="G1255" s="14">
        <v>38.31</v>
      </c>
      <c r="H1255" s="15">
        <f aca="true" t="shared" si="202" ref="H1255:H1257">G1255*D1255</f>
        <v>107268</v>
      </c>
      <c r="I1255" s="16">
        <f aca="true" t="shared" si="203" ref="I1255:I1257">H1255-E1255</f>
        <v>6429</v>
      </c>
      <c r="J1255" s="19">
        <f aca="true" t="shared" si="204" ref="J1255:J1257">I1255/E1255</f>
        <v>0.0637550947550055</v>
      </c>
      <c r="K1255" s="95" t="s">
        <v>315</v>
      </c>
      <c r="L1255" s="119">
        <v>35.55</v>
      </c>
      <c r="M1255" s="41">
        <f aca="true" t="shared" si="205" ref="M1255:M1261">C1255*0.93</f>
        <v>33.4893</v>
      </c>
      <c r="N1255" s="117">
        <v>40.96</v>
      </c>
      <c r="O1255" s="121">
        <v>42290</v>
      </c>
      <c r="P1255" s="116" t="s">
        <v>65</v>
      </c>
      <c r="Q1255" s="117">
        <v>41.58</v>
      </c>
      <c r="R1255" s="118">
        <f>Q1255*0.855</f>
        <v>35.5509</v>
      </c>
      <c r="S1255" s="117">
        <f>1.11*C1255</f>
        <v>39.9711</v>
      </c>
      <c r="T1255" s="116"/>
    </row>
    <row r="1256" spans="1:20" s="114" customFormat="1" ht="15">
      <c r="A1256" s="12" t="s">
        <v>65</v>
      </c>
      <c r="B1256" s="13">
        <v>42221.322222222225</v>
      </c>
      <c r="C1256" s="14">
        <v>37.24</v>
      </c>
      <c r="D1256" s="15">
        <v>1700</v>
      </c>
      <c r="E1256" s="15">
        <f t="shared" si="201"/>
        <v>63319</v>
      </c>
      <c r="F1256" s="13"/>
      <c r="G1256" s="14">
        <v>38.31</v>
      </c>
      <c r="H1256" s="15">
        <f t="shared" si="202"/>
        <v>65127.00000000001</v>
      </c>
      <c r="I1256" s="16">
        <f t="shared" si="203"/>
        <v>1808.0000000000073</v>
      </c>
      <c r="J1256" s="19">
        <f t="shared" si="204"/>
        <v>0.028553830603768336</v>
      </c>
      <c r="K1256" s="95" t="s">
        <v>317</v>
      </c>
      <c r="L1256" s="119">
        <v>35.55</v>
      </c>
      <c r="M1256" s="41">
        <f t="shared" si="205"/>
        <v>34.6332</v>
      </c>
      <c r="N1256" s="117">
        <v>40.96</v>
      </c>
      <c r="P1256" s="116" t="s">
        <v>65</v>
      </c>
      <c r="Q1256" s="117"/>
      <c r="R1256" s="117"/>
      <c r="S1256" s="117"/>
      <c r="T1256" s="116"/>
    </row>
    <row r="1257" spans="1:20" s="114" customFormat="1" ht="15">
      <c r="A1257" s="12" t="s">
        <v>65</v>
      </c>
      <c r="B1257" s="13">
        <v>42221.35763888889</v>
      </c>
      <c r="C1257" s="14">
        <v>37.53</v>
      </c>
      <c r="D1257" s="15">
        <v>1000</v>
      </c>
      <c r="E1257" s="15">
        <f t="shared" si="201"/>
        <v>37541</v>
      </c>
      <c r="F1257" s="13"/>
      <c r="G1257" s="14">
        <v>38.31</v>
      </c>
      <c r="H1257" s="15">
        <f t="shared" si="202"/>
        <v>38310</v>
      </c>
      <c r="I1257" s="16">
        <f t="shared" si="203"/>
        <v>769</v>
      </c>
      <c r="J1257" s="19">
        <f t="shared" si="204"/>
        <v>0.02048427053088623</v>
      </c>
      <c r="K1257" s="95" t="s">
        <v>316</v>
      </c>
      <c r="L1257" s="119">
        <v>35.55</v>
      </c>
      <c r="M1257" s="41">
        <f t="shared" si="205"/>
        <v>34.9029</v>
      </c>
      <c r="N1257" s="117">
        <v>40.96</v>
      </c>
      <c r="P1257" s="116" t="s">
        <v>65</v>
      </c>
      <c r="Q1257" s="117"/>
      <c r="R1257" s="117"/>
      <c r="S1257" s="117"/>
      <c r="T1257" s="116"/>
    </row>
    <row r="1258" spans="1:20" s="114" customFormat="1" ht="15">
      <c r="A1258" s="85" t="s">
        <v>383</v>
      </c>
      <c r="B1258" s="13">
        <v>42242.48333333333</v>
      </c>
      <c r="C1258" s="14">
        <v>64.98</v>
      </c>
      <c r="D1258" s="15">
        <v>1600</v>
      </c>
      <c r="E1258" s="15">
        <f t="shared" si="201"/>
        <v>103979</v>
      </c>
      <c r="F1258" s="13"/>
      <c r="G1258" s="14">
        <v>71.14</v>
      </c>
      <c r="H1258" s="15">
        <f aca="true" t="shared" si="206" ref="H1258:H1261">G1258*D1258</f>
        <v>113824</v>
      </c>
      <c r="I1258" s="16">
        <f aca="true" t="shared" si="207" ref="I1258:I1261">H1258-E1258</f>
        <v>9845</v>
      </c>
      <c r="J1258" s="19">
        <f aca="true" t="shared" si="208" ref="J1258:J1261">I1258/E1258</f>
        <v>0.09468258013637369</v>
      </c>
      <c r="K1258" s="95" t="s">
        <v>384</v>
      </c>
      <c r="L1258" s="119">
        <v>62.08</v>
      </c>
      <c r="M1258" s="41">
        <f t="shared" si="205"/>
        <v>60.431400000000004</v>
      </c>
      <c r="N1258" s="117">
        <v>88.5</v>
      </c>
      <c r="P1258" s="116" t="s">
        <v>383</v>
      </c>
      <c r="Q1258" s="117">
        <v>72.61</v>
      </c>
      <c r="R1258" s="118">
        <f>Q1258*0.855</f>
        <v>62.08155</v>
      </c>
      <c r="S1258" s="117">
        <f>1.11*C1258</f>
        <v>72.12780000000001</v>
      </c>
      <c r="T1258" s="116"/>
    </row>
    <row r="1259" spans="1:20" s="114" customFormat="1" ht="15">
      <c r="A1259" s="85" t="s">
        <v>383</v>
      </c>
      <c r="B1259" s="13">
        <v>42242.53611111111</v>
      </c>
      <c r="C1259" s="14">
        <v>67.31</v>
      </c>
      <c r="D1259" s="15">
        <v>900</v>
      </c>
      <c r="E1259" s="15">
        <f t="shared" si="201"/>
        <v>60590</v>
      </c>
      <c r="F1259" s="13"/>
      <c r="G1259" s="14">
        <v>71.14</v>
      </c>
      <c r="H1259" s="15">
        <f t="shared" si="206"/>
        <v>64026</v>
      </c>
      <c r="I1259" s="16">
        <f t="shared" si="207"/>
        <v>3436</v>
      </c>
      <c r="J1259" s="19">
        <f t="shared" si="208"/>
        <v>0.05670902789239148</v>
      </c>
      <c r="K1259" s="95" t="s">
        <v>386</v>
      </c>
      <c r="L1259" s="119"/>
      <c r="M1259" s="20">
        <f t="shared" si="205"/>
        <v>62.59830000000001</v>
      </c>
      <c r="N1259" s="117">
        <v>89.5</v>
      </c>
      <c r="P1259" s="116" t="s">
        <v>383</v>
      </c>
      <c r="Q1259" s="117"/>
      <c r="R1259" s="117"/>
      <c r="S1259" s="117"/>
      <c r="T1259" s="116"/>
    </row>
    <row r="1260" spans="1:20" s="114" customFormat="1" ht="15">
      <c r="A1260" s="85" t="s">
        <v>383</v>
      </c>
      <c r="B1260" s="13">
        <v>42243.32013888889</v>
      </c>
      <c r="C1260" s="14">
        <v>69.5</v>
      </c>
      <c r="D1260" s="15">
        <v>570</v>
      </c>
      <c r="E1260" s="15">
        <f t="shared" si="201"/>
        <v>39626</v>
      </c>
      <c r="F1260" s="13"/>
      <c r="G1260" s="14">
        <v>71.14</v>
      </c>
      <c r="H1260" s="15">
        <f t="shared" si="206"/>
        <v>40549.8</v>
      </c>
      <c r="I1260" s="16">
        <f t="shared" si="207"/>
        <v>923.8000000000029</v>
      </c>
      <c r="J1260" s="19">
        <f t="shared" si="208"/>
        <v>0.023312976328673168</v>
      </c>
      <c r="K1260" s="95" t="s">
        <v>385</v>
      </c>
      <c r="L1260" s="119"/>
      <c r="M1260" s="20">
        <f t="shared" si="205"/>
        <v>64.635</v>
      </c>
      <c r="N1260" s="117">
        <v>89.5</v>
      </c>
      <c r="P1260" s="116" t="s">
        <v>383</v>
      </c>
      <c r="Q1260" s="117"/>
      <c r="R1260" s="117"/>
      <c r="S1260" s="117"/>
      <c r="T1260" s="116"/>
    </row>
    <row r="1261" spans="1:20" s="114" customFormat="1" ht="15">
      <c r="A1261" s="85" t="s">
        <v>388</v>
      </c>
      <c r="B1261" s="13">
        <v>42244.365277777775</v>
      </c>
      <c r="C1261" s="14">
        <v>139.5</v>
      </c>
      <c r="D1261" s="15">
        <v>720</v>
      </c>
      <c r="E1261" s="15">
        <f t="shared" si="201"/>
        <v>100451</v>
      </c>
      <c r="F1261" s="13"/>
      <c r="G1261" s="14">
        <v>138.88</v>
      </c>
      <c r="H1261" s="15">
        <f t="shared" si="206"/>
        <v>99993.59999999999</v>
      </c>
      <c r="I1261" s="16">
        <f t="shared" si="207"/>
        <v>-457.40000000000873</v>
      </c>
      <c r="J1261" s="19">
        <f t="shared" si="208"/>
        <v>-0.00455346387791071</v>
      </c>
      <c r="K1261" s="95" t="s">
        <v>387</v>
      </c>
      <c r="L1261" s="119"/>
      <c r="M1261" s="20">
        <f t="shared" si="205"/>
        <v>129.735</v>
      </c>
      <c r="N1261" s="117">
        <v>179.43</v>
      </c>
      <c r="P1261" s="116" t="s">
        <v>388</v>
      </c>
      <c r="Q1261" s="117"/>
      <c r="R1261" s="117"/>
      <c r="S1261" s="117">
        <f>1.11*C1261</f>
        <v>154.84500000000003</v>
      </c>
      <c r="T1261" s="116"/>
    </row>
    <row r="1262" spans="1:20" s="114" customFormat="1" ht="15">
      <c r="A1262" s="12"/>
      <c r="B1262" s="13"/>
      <c r="C1262" s="14"/>
      <c r="D1262" s="15"/>
      <c r="E1262" s="15"/>
      <c r="G1262" s="14"/>
      <c r="H1262" s="15"/>
      <c r="I1262" s="16"/>
      <c r="J1262" s="19"/>
      <c r="K1262" s="95"/>
      <c r="L1262" s="119"/>
      <c r="M1262" s="32"/>
      <c r="N1262" s="117"/>
      <c r="P1262" s="116"/>
      <c r="Q1262" s="117"/>
      <c r="R1262" s="117"/>
      <c r="S1262" s="117"/>
      <c r="T1262" s="116"/>
    </row>
    <row r="1263" spans="1:33" s="114" customFormat="1" ht="15">
      <c r="A1263" s="21" t="s">
        <v>14</v>
      </c>
      <c r="B1263" s="22"/>
      <c r="C1263" s="23"/>
      <c r="D1263" s="24"/>
      <c r="E1263" s="24">
        <f>SUM(E1255:E1262)</f>
        <v>506345</v>
      </c>
      <c r="F1263" s="13"/>
      <c r="G1263" s="23"/>
      <c r="H1263" s="24">
        <f>SUM(H1255:H1262)</f>
        <v>529098.4</v>
      </c>
      <c r="I1263" s="25">
        <f>SUM(I1255:I1262)</f>
        <v>22753.4</v>
      </c>
      <c r="J1263" s="26">
        <f>I1263/E1263</f>
        <v>0.044936555115583254</v>
      </c>
      <c r="K1263" s="27" t="s">
        <v>15</v>
      </c>
      <c r="L1263" s="28">
        <f>100000+I1265</f>
        <v>581882.6100000001</v>
      </c>
      <c r="M1263" s="81"/>
      <c r="N1263" s="89"/>
      <c r="Q1263" s="117"/>
      <c r="R1263" s="117"/>
      <c r="S1263" s="117"/>
      <c r="T1263" s="116"/>
      <c r="X1263" s="114" t="s">
        <v>371</v>
      </c>
      <c r="Z1263" s="114" t="s">
        <v>17</v>
      </c>
      <c r="AC1263" s="114" t="s">
        <v>372</v>
      </c>
      <c r="AE1263" s="114" t="s">
        <v>373</v>
      </c>
      <c r="AG1263" s="114" t="s">
        <v>374</v>
      </c>
    </row>
    <row r="1264" spans="1:33" s="114" customFormat="1" ht="15">
      <c r="A1264" s="12" t="s">
        <v>67</v>
      </c>
      <c r="B1264" s="22"/>
      <c r="C1264" s="25">
        <f>I1265-I1250</f>
        <v>35125.40000000002</v>
      </c>
      <c r="D1264" s="26">
        <f>C1264/H1248</f>
        <v>0.06936651565838693</v>
      </c>
      <c r="E1264" s="24"/>
      <c r="F1264" s="22" t="s">
        <v>16</v>
      </c>
      <c r="G1264" s="117"/>
      <c r="H1264" s="29" t="str">
        <f>IF(ABS(H1263-E1263-I1263)&lt;1,"","ERROR")</f>
        <v/>
      </c>
      <c r="I1264" s="16">
        <v>459129.21</v>
      </c>
      <c r="J1264" s="26"/>
      <c r="K1264" s="111" t="s">
        <v>17</v>
      </c>
      <c r="L1264" s="28">
        <f>(2*(100000+I1265))-E1263</f>
        <v>657420.2200000002</v>
      </c>
      <c r="M1264" s="31"/>
      <c r="Q1264" s="117"/>
      <c r="R1264" s="117"/>
      <c r="S1264" s="117"/>
      <c r="T1264" s="116"/>
      <c r="X1264" s="29" t="e">
        <f>E1263-#REF!-#REF!-#REF!</f>
        <v>#REF!</v>
      </c>
      <c r="Z1264" s="29">
        <f>E1263+L1264</f>
        <v>1163765.2200000002</v>
      </c>
      <c r="AC1264" s="29" t="e">
        <f>#REF!+#REF!+#REF!</f>
        <v>#REF!</v>
      </c>
      <c r="AE1264" s="29" t="e">
        <f>X1264-AC1264</f>
        <v>#REF!</v>
      </c>
      <c r="AG1264" s="155" t="e">
        <f>AE1264/Z1264</f>
        <v>#REF!</v>
      </c>
    </row>
    <row r="1265" spans="1:20" s="114" customFormat="1" ht="15">
      <c r="A1265" s="12" t="s">
        <v>54</v>
      </c>
      <c r="B1265" s="22"/>
      <c r="C1265" s="25">
        <f>L1263-L1248</f>
        <v>35125.40000000014</v>
      </c>
      <c r="D1265" s="26">
        <f>C1265/L1248</f>
        <v>0.06424314002187578</v>
      </c>
      <c r="E1265" s="24"/>
      <c r="F1265" s="22" t="s">
        <v>18</v>
      </c>
      <c r="G1265" s="117"/>
      <c r="H1265" s="29"/>
      <c r="I1265" s="30">
        <f>I1263+I1264</f>
        <v>481882.61000000004</v>
      </c>
      <c r="J1265" s="26">
        <f>I1265/100000</f>
        <v>4.818826100000001</v>
      </c>
      <c r="K1265" s="111" t="s">
        <v>19</v>
      </c>
      <c r="L1265" s="26">
        <f>E1263/(2*(100000+I1265))</f>
        <v>0.43509205404849605</v>
      </c>
      <c r="M1265" s="31"/>
      <c r="Q1265" s="117"/>
      <c r="R1265" s="117"/>
      <c r="S1265" s="117"/>
      <c r="T1265" s="116"/>
    </row>
    <row r="1266" spans="1:20" s="114" customFormat="1" ht="15">
      <c r="A1266" s="114">
        <v>3</v>
      </c>
      <c r="B1266" s="22"/>
      <c r="C1266" s="25"/>
      <c r="D1266" s="26"/>
      <c r="E1266" s="24"/>
      <c r="G1266" s="117"/>
      <c r="H1266" s="29"/>
      <c r="I1266" s="30"/>
      <c r="J1266" s="26"/>
      <c r="K1266" s="111"/>
      <c r="L1266" s="26"/>
      <c r="M1266" s="31"/>
      <c r="Q1266" s="117"/>
      <c r="R1266" s="117"/>
      <c r="S1266" s="117"/>
      <c r="T1266" s="116"/>
    </row>
    <row r="1267" spans="2:20" s="114" customFormat="1" ht="15">
      <c r="B1267" s="22"/>
      <c r="C1267" s="25"/>
      <c r="D1267" s="26"/>
      <c r="E1267" s="24"/>
      <c r="F1267" s="22"/>
      <c r="G1267" s="117"/>
      <c r="H1267" s="29"/>
      <c r="I1267" s="30"/>
      <c r="J1267" s="26"/>
      <c r="K1267" s="111"/>
      <c r="L1267" s="26"/>
      <c r="M1267" s="31"/>
      <c r="Q1267" s="117"/>
      <c r="R1267" s="117"/>
      <c r="S1267" s="117"/>
      <c r="T1267" s="116"/>
    </row>
    <row r="1268" spans="1:20" s="114" customFormat="1" ht="30.75" customHeight="1">
      <c r="A1268" s="138" t="s">
        <v>38</v>
      </c>
      <c r="B1268" s="384" t="s">
        <v>389</v>
      </c>
      <c r="C1268" s="384"/>
      <c r="D1268" s="384"/>
      <c r="E1268" s="384"/>
      <c r="F1268" s="384"/>
      <c r="G1268" s="384"/>
      <c r="H1268" s="384"/>
      <c r="I1268" s="384"/>
      <c r="J1268" s="384"/>
      <c r="K1268" s="384"/>
      <c r="L1268" s="384"/>
      <c r="M1268" s="384"/>
      <c r="N1268" s="384"/>
      <c r="O1268" s="92"/>
      <c r="P1268" s="92"/>
      <c r="Q1268" s="104"/>
      <c r="R1268" s="104"/>
      <c r="S1268" s="107"/>
      <c r="T1268" s="109"/>
    </row>
    <row r="1269" spans="1:22" s="114" customFormat="1" ht="15">
      <c r="A1269" s="2" t="s">
        <v>0</v>
      </c>
      <c r="B1269" s="3" t="s">
        <v>1</v>
      </c>
      <c r="C1269" s="4" t="s">
        <v>2</v>
      </c>
      <c r="D1269" s="5" t="s">
        <v>3</v>
      </c>
      <c r="E1269" s="6" t="s">
        <v>4</v>
      </c>
      <c r="F1269" s="3" t="s">
        <v>5</v>
      </c>
      <c r="G1269" s="7" t="s">
        <v>2</v>
      </c>
      <c r="H1269" s="6" t="s">
        <v>6</v>
      </c>
      <c r="I1269" s="6" t="s">
        <v>7</v>
      </c>
      <c r="J1269" s="8" t="s">
        <v>8</v>
      </c>
      <c r="K1269" s="9" t="s">
        <v>9</v>
      </c>
      <c r="L1269" s="10" t="s">
        <v>10</v>
      </c>
      <c r="M1269" s="11" t="s">
        <v>11</v>
      </c>
      <c r="N1269" s="103" t="s">
        <v>53</v>
      </c>
      <c r="O1269" s="105" t="s">
        <v>110</v>
      </c>
      <c r="P1269" s="106" t="s">
        <v>0</v>
      </c>
      <c r="Q1269" s="117" t="s">
        <v>13</v>
      </c>
      <c r="R1269" s="117" t="s">
        <v>70</v>
      </c>
      <c r="S1269" s="111" t="s">
        <v>103</v>
      </c>
      <c r="T1269" s="116" t="s">
        <v>107</v>
      </c>
      <c r="V1269" s="9"/>
    </row>
    <row r="1270" spans="1:20" s="114" customFormat="1" ht="15">
      <c r="A1270" s="12" t="s">
        <v>65</v>
      </c>
      <c r="B1270" s="13">
        <v>42221.27638888889</v>
      </c>
      <c r="C1270" s="14">
        <v>36.01</v>
      </c>
      <c r="D1270" s="15">
        <v>2800</v>
      </c>
      <c r="E1270" s="15">
        <f aca="true" t="shared" si="209" ref="E1270:E1277">C1270*D1270+11</f>
        <v>100839</v>
      </c>
      <c r="F1270" s="13"/>
      <c r="G1270" s="14">
        <v>36.75</v>
      </c>
      <c r="H1270" s="15">
        <f aca="true" t="shared" si="210" ref="H1270:H1277">G1270*D1270</f>
        <v>102900</v>
      </c>
      <c r="I1270" s="16">
        <f aca="true" t="shared" si="211" ref="I1270:I1277">H1270-E1270</f>
        <v>2061</v>
      </c>
      <c r="J1270" s="19">
        <f aca="true" t="shared" si="212" ref="J1270:J1277">I1270/E1270</f>
        <v>0.020438520810400738</v>
      </c>
      <c r="K1270" s="95" t="s">
        <v>315</v>
      </c>
      <c r="L1270" s="119">
        <v>35.55</v>
      </c>
      <c r="M1270" s="41">
        <f aca="true" t="shared" si="213" ref="M1270:M1277">C1270*0.93</f>
        <v>33.4893</v>
      </c>
      <c r="N1270" s="117">
        <v>40.96</v>
      </c>
      <c r="O1270" s="121">
        <v>42290</v>
      </c>
      <c r="P1270" s="116" t="s">
        <v>65</v>
      </c>
      <c r="Q1270" s="117">
        <v>41.58</v>
      </c>
      <c r="R1270" s="118">
        <f>Q1270*0.855</f>
        <v>35.5509</v>
      </c>
      <c r="S1270" s="117">
        <f>1.11*C1270</f>
        <v>39.9711</v>
      </c>
      <c r="T1270" s="116"/>
    </row>
    <row r="1271" spans="1:20" s="114" customFormat="1" ht="15">
      <c r="A1271" s="12" t="s">
        <v>65</v>
      </c>
      <c r="B1271" s="13">
        <v>42221.322222222225</v>
      </c>
      <c r="C1271" s="14">
        <v>37.24</v>
      </c>
      <c r="D1271" s="15">
        <v>1700</v>
      </c>
      <c r="E1271" s="15">
        <f t="shared" si="209"/>
        <v>63319</v>
      </c>
      <c r="F1271" s="13"/>
      <c r="G1271" s="14">
        <v>36.75</v>
      </c>
      <c r="H1271" s="15">
        <f t="shared" si="210"/>
        <v>62475</v>
      </c>
      <c r="I1271" s="16">
        <f t="shared" si="211"/>
        <v>-844</v>
      </c>
      <c r="J1271" s="19">
        <f t="shared" si="212"/>
        <v>-0.013329332427865253</v>
      </c>
      <c r="K1271" s="95" t="s">
        <v>317</v>
      </c>
      <c r="L1271" s="119">
        <v>35.55</v>
      </c>
      <c r="M1271" s="41">
        <f t="shared" si="213"/>
        <v>34.6332</v>
      </c>
      <c r="N1271" s="117">
        <v>40.96</v>
      </c>
      <c r="P1271" s="116" t="s">
        <v>65</v>
      </c>
      <c r="Q1271" s="117"/>
      <c r="R1271" s="117"/>
      <c r="S1271" s="117"/>
      <c r="T1271" s="116"/>
    </row>
    <row r="1272" spans="1:20" s="114" customFormat="1" ht="15">
      <c r="A1272" s="12" t="s">
        <v>65</v>
      </c>
      <c r="B1272" s="13">
        <v>42221.35763888889</v>
      </c>
      <c r="C1272" s="14">
        <v>37.53</v>
      </c>
      <c r="D1272" s="15">
        <v>1000</v>
      </c>
      <c r="E1272" s="15">
        <f t="shared" si="209"/>
        <v>37541</v>
      </c>
      <c r="F1272" s="13"/>
      <c r="G1272" s="14">
        <v>36.75</v>
      </c>
      <c r="H1272" s="15">
        <f t="shared" si="210"/>
        <v>36750</v>
      </c>
      <c r="I1272" s="16">
        <f t="shared" si="211"/>
        <v>-791</v>
      </c>
      <c r="J1272" s="19">
        <f t="shared" si="212"/>
        <v>-0.021070296475853068</v>
      </c>
      <c r="K1272" s="95" t="s">
        <v>316</v>
      </c>
      <c r="L1272" s="119">
        <v>35.55</v>
      </c>
      <c r="M1272" s="41">
        <f t="shared" si="213"/>
        <v>34.9029</v>
      </c>
      <c r="N1272" s="117">
        <v>40.96</v>
      </c>
      <c r="P1272" s="116" t="s">
        <v>65</v>
      </c>
      <c r="Q1272" s="117"/>
      <c r="R1272" s="117"/>
      <c r="S1272" s="117"/>
      <c r="T1272" s="116"/>
    </row>
    <row r="1273" spans="1:20" s="114" customFormat="1" ht="15">
      <c r="A1273" s="12" t="s">
        <v>383</v>
      </c>
      <c r="B1273" s="13">
        <v>42242.48333333333</v>
      </c>
      <c r="C1273" s="14">
        <v>64.98</v>
      </c>
      <c r="D1273" s="15">
        <v>1600</v>
      </c>
      <c r="E1273" s="15">
        <f t="shared" si="209"/>
        <v>103979</v>
      </c>
      <c r="F1273" s="13"/>
      <c r="G1273" s="14">
        <v>72.57</v>
      </c>
      <c r="H1273" s="15">
        <f t="shared" si="210"/>
        <v>116111.99999999999</v>
      </c>
      <c r="I1273" s="16">
        <f t="shared" si="211"/>
        <v>12132.999999999985</v>
      </c>
      <c r="J1273" s="19">
        <f t="shared" si="212"/>
        <v>0.11668702334125146</v>
      </c>
      <c r="K1273" s="95" t="s">
        <v>384</v>
      </c>
      <c r="L1273" s="119">
        <v>63.8</v>
      </c>
      <c r="M1273" s="41">
        <f t="shared" si="213"/>
        <v>60.431400000000004</v>
      </c>
      <c r="N1273" s="117">
        <v>88.5</v>
      </c>
      <c r="O1273" s="121">
        <v>42300</v>
      </c>
      <c r="P1273" s="116" t="s">
        <v>383</v>
      </c>
      <c r="Q1273" s="117">
        <v>74.62</v>
      </c>
      <c r="R1273" s="118">
        <f>Q1273*0.855</f>
        <v>63.8001</v>
      </c>
      <c r="S1273" s="117">
        <f>1.11*C1273</f>
        <v>72.12780000000001</v>
      </c>
      <c r="T1273" s="116"/>
    </row>
    <row r="1274" spans="1:20" s="114" customFormat="1" ht="15">
      <c r="A1274" s="12" t="s">
        <v>383</v>
      </c>
      <c r="B1274" s="13">
        <v>42242.53611111111</v>
      </c>
      <c r="C1274" s="14">
        <v>67.31</v>
      </c>
      <c r="D1274" s="15">
        <v>900</v>
      </c>
      <c r="E1274" s="15">
        <f t="shared" si="209"/>
        <v>60590</v>
      </c>
      <c r="F1274" s="13"/>
      <c r="G1274" s="14">
        <v>72.57</v>
      </c>
      <c r="H1274" s="15">
        <f t="shared" si="210"/>
        <v>65312.99999999999</v>
      </c>
      <c r="I1274" s="16">
        <f t="shared" si="211"/>
        <v>4722.999999999993</v>
      </c>
      <c r="J1274" s="19">
        <f t="shared" si="212"/>
        <v>0.07795015679154964</v>
      </c>
      <c r="K1274" s="95" t="s">
        <v>386</v>
      </c>
      <c r="L1274" s="119">
        <v>63.8</v>
      </c>
      <c r="M1274" s="41">
        <f t="shared" si="213"/>
        <v>62.59830000000001</v>
      </c>
      <c r="N1274" s="117">
        <v>89.5</v>
      </c>
      <c r="P1274" s="116" t="s">
        <v>383</v>
      </c>
      <c r="Q1274" s="117"/>
      <c r="R1274" s="117"/>
      <c r="S1274" s="117"/>
      <c r="T1274" s="116"/>
    </row>
    <row r="1275" spans="1:20" s="114" customFormat="1" ht="15">
      <c r="A1275" s="12" t="s">
        <v>383</v>
      </c>
      <c r="B1275" s="13">
        <v>42243.32013888889</v>
      </c>
      <c r="C1275" s="14">
        <v>69.5</v>
      </c>
      <c r="D1275" s="15">
        <v>570</v>
      </c>
      <c r="E1275" s="15">
        <f t="shared" si="209"/>
        <v>39626</v>
      </c>
      <c r="F1275" s="13"/>
      <c r="G1275" s="14">
        <v>72.57</v>
      </c>
      <c r="H1275" s="15">
        <f t="shared" si="210"/>
        <v>41364.899999999994</v>
      </c>
      <c r="I1275" s="16">
        <f t="shared" si="211"/>
        <v>1738.8999999999942</v>
      </c>
      <c r="J1275" s="19">
        <f t="shared" si="212"/>
        <v>0.043882804219451725</v>
      </c>
      <c r="K1275" s="95" t="s">
        <v>385</v>
      </c>
      <c r="L1275" s="119"/>
      <c r="M1275" s="20">
        <f t="shared" si="213"/>
        <v>64.635</v>
      </c>
      <c r="N1275" s="117">
        <v>89.5</v>
      </c>
      <c r="P1275" s="116" t="s">
        <v>383</v>
      </c>
      <c r="Q1275" s="117"/>
      <c r="R1275" s="117"/>
      <c r="S1275" s="117"/>
      <c r="T1275" s="116"/>
    </row>
    <row r="1276" spans="1:20" s="114" customFormat="1" ht="15">
      <c r="A1276" s="12" t="s">
        <v>388</v>
      </c>
      <c r="B1276" s="13">
        <v>42244.365277777775</v>
      </c>
      <c r="C1276" s="14">
        <v>139.5</v>
      </c>
      <c r="D1276" s="15">
        <v>720</v>
      </c>
      <c r="E1276" s="15">
        <f t="shared" si="209"/>
        <v>100451</v>
      </c>
      <c r="F1276" s="13"/>
      <c r="G1276" s="14">
        <v>136.53</v>
      </c>
      <c r="H1276" s="15">
        <f t="shared" si="210"/>
        <v>98301.6</v>
      </c>
      <c r="I1276" s="16">
        <f t="shared" si="211"/>
        <v>-2149.399999999994</v>
      </c>
      <c r="J1276" s="19">
        <f t="shared" si="212"/>
        <v>-0.021397497287234515</v>
      </c>
      <c r="K1276" s="95" t="s">
        <v>387</v>
      </c>
      <c r="L1276" s="119"/>
      <c r="M1276" s="20">
        <f t="shared" si="213"/>
        <v>129.735</v>
      </c>
      <c r="N1276" s="117">
        <v>179.43</v>
      </c>
      <c r="O1276" s="159"/>
      <c r="P1276" s="116" t="s">
        <v>388</v>
      </c>
      <c r="Q1276" s="117"/>
      <c r="R1276" s="118"/>
      <c r="S1276" s="117">
        <f>1.11*C1276</f>
        <v>154.84500000000003</v>
      </c>
      <c r="T1276" s="116"/>
    </row>
    <row r="1277" spans="1:20" s="114" customFormat="1" ht="15">
      <c r="A1277" s="85" t="s">
        <v>390</v>
      </c>
      <c r="B1277" s="13">
        <v>42250.32430555556</v>
      </c>
      <c r="C1277" s="14">
        <v>74.24</v>
      </c>
      <c r="D1277" s="15">
        <v>1350</v>
      </c>
      <c r="E1277" s="15">
        <f t="shared" si="209"/>
        <v>100235</v>
      </c>
      <c r="F1277" s="13"/>
      <c r="G1277" s="14">
        <v>72</v>
      </c>
      <c r="H1277" s="15">
        <f t="shared" si="210"/>
        <v>97200</v>
      </c>
      <c r="I1277" s="16">
        <f t="shared" si="211"/>
        <v>-3035</v>
      </c>
      <c r="J1277" s="19">
        <f t="shared" si="212"/>
        <v>-0.03027884471491994</v>
      </c>
      <c r="K1277" s="95" t="s">
        <v>391</v>
      </c>
      <c r="L1277" s="119"/>
      <c r="M1277" s="20">
        <f t="shared" si="213"/>
        <v>69.0432</v>
      </c>
      <c r="N1277" s="117">
        <v>92.48</v>
      </c>
      <c r="O1277" s="121">
        <v>42275</v>
      </c>
      <c r="P1277" s="116" t="s">
        <v>390</v>
      </c>
      <c r="Q1277" s="117"/>
      <c r="R1277" s="118"/>
      <c r="S1277" s="117">
        <f>1.11*C1277</f>
        <v>82.4064</v>
      </c>
      <c r="T1277" s="116"/>
    </row>
    <row r="1278" spans="1:20" s="114" customFormat="1" ht="15">
      <c r="A1278" s="12"/>
      <c r="B1278" s="13"/>
      <c r="C1278" s="14"/>
      <c r="D1278" s="15"/>
      <c r="E1278" s="15"/>
      <c r="G1278" s="14"/>
      <c r="H1278" s="15"/>
      <c r="I1278" s="16"/>
      <c r="J1278" s="19"/>
      <c r="K1278" s="95"/>
      <c r="L1278" s="119"/>
      <c r="M1278" s="32"/>
      <c r="N1278" s="117"/>
      <c r="P1278" s="116"/>
      <c r="Q1278" s="117"/>
      <c r="R1278" s="117"/>
      <c r="S1278" s="117"/>
      <c r="T1278" s="116"/>
    </row>
    <row r="1279" spans="1:33" s="114" customFormat="1" ht="15">
      <c r="A1279" s="21" t="s">
        <v>14</v>
      </c>
      <c r="B1279" s="22"/>
      <c r="C1279" s="23"/>
      <c r="D1279" s="24"/>
      <c r="E1279" s="24">
        <f>SUM(E1270:E1278)</f>
        <v>606580</v>
      </c>
      <c r="F1279" s="13"/>
      <c r="G1279" s="23"/>
      <c r="H1279" s="24">
        <f>SUM(H1270:H1278)</f>
        <v>620416.5</v>
      </c>
      <c r="I1279" s="25">
        <f>SUM(I1270:I1278)</f>
        <v>13836.499999999978</v>
      </c>
      <c r="J1279" s="26">
        <f>I1279/E1279</f>
        <v>0.022810676250453327</v>
      </c>
      <c r="K1279" s="27" t="s">
        <v>15</v>
      </c>
      <c r="L1279" s="28">
        <f>100000+I1281</f>
        <v>572965.71</v>
      </c>
      <c r="M1279" s="81"/>
      <c r="N1279" s="89"/>
      <c r="Q1279" s="117"/>
      <c r="R1279" s="117"/>
      <c r="S1279" s="117"/>
      <c r="T1279" s="116"/>
      <c r="X1279" s="114" t="s">
        <v>371</v>
      </c>
      <c r="Z1279" s="114" t="s">
        <v>17</v>
      </c>
      <c r="AC1279" s="114" t="s">
        <v>372</v>
      </c>
      <c r="AE1279" s="114" t="s">
        <v>373</v>
      </c>
      <c r="AG1279" s="114" t="s">
        <v>374</v>
      </c>
    </row>
    <row r="1280" spans="1:33" s="114" customFormat="1" ht="15">
      <c r="A1280" s="12" t="s">
        <v>67</v>
      </c>
      <c r="B1280" s="22"/>
      <c r="C1280" s="25">
        <f>I1281-I1265</f>
        <v>-8916.900000000023</v>
      </c>
      <c r="D1280" s="26">
        <f>C1280/H1263</f>
        <v>-0.01685300881650752</v>
      </c>
      <c r="E1280" s="24"/>
      <c r="F1280" s="22" t="s">
        <v>16</v>
      </c>
      <c r="G1280" s="117"/>
      <c r="H1280" s="29" t="str">
        <f>IF(ABS(H1279-E1279-I1279)&lt;1,"","ERROR")</f>
        <v/>
      </c>
      <c r="I1280" s="16">
        <v>459129.21</v>
      </c>
      <c r="J1280" s="26"/>
      <c r="K1280" s="111" t="s">
        <v>17</v>
      </c>
      <c r="L1280" s="28">
        <f>(2*(100000+I1281))-E1279</f>
        <v>539351.4199999999</v>
      </c>
      <c r="M1280" s="31"/>
      <c r="Q1280" s="117"/>
      <c r="R1280" s="117"/>
      <c r="S1280" s="117"/>
      <c r="T1280" s="116"/>
      <c r="X1280" s="29" t="e">
        <f>E1279-#REF!-#REF!-#REF!</f>
        <v>#REF!</v>
      </c>
      <c r="Z1280" s="29">
        <f>E1279+L1280</f>
        <v>1145931.42</v>
      </c>
      <c r="AC1280" s="29" t="e">
        <f>#REF!+#REF!+#REF!</f>
        <v>#REF!</v>
      </c>
      <c r="AE1280" s="29" t="e">
        <f>X1280-AC1280</f>
        <v>#REF!</v>
      </c>
      <c r="AG1280" s="155" t="e">
        <f>AE1280/Z1280</f>
        <v>#REF!</v>
      </c>
    </row>
    <row r="1281" spans="1:20" s="114" customFormat="1" ht="15">
      <c r="A1281" s="12" t="s">
        <v>54</v>
      </c>
      <c r="B1281" s="22"/>
      <c r="C1281" s="25">
        <f>L1279-L1263</f>
        <v>-8916.90000000014</v>
      </c>
      <c r="D1281" s="26">
        <f>C1281/L1263</f>
        <v>-0.015324224932585867</v>
      </c>
      <c r="E1281" s="24"/>
      <c r="F1281" s="22" t="s">
        <v>18</v>
      </c>
      <c r="G1281" s="117"/>
      <c r="H1281" s="29"/>
      <c r="I1281" s="30">
        <f>I1279+I1280</f>
        <v>472965.71</v>
      </c>
      <c r="J1281" s="26">
        <f>I1281/100000</f>
        <v>4.7296571</v>
      </c>
      <c r="K1281" s="111" t="s">
        <v>19</v>
      </c>
      <c r="L1281" s="26">
        <f>E1279/(2*(100000+I1281))</f>
        <v>0.529333596595161</v>
      </c>
      <c r="M1281" s="31"/>
      <c r="Q1281" s="117"/>
      <c r="R1281" s="117"/>
      <c r="S1281" s="117"/>
      <c r="T1281" s="116"/>
    </row>
    <row r="1282" spans="1:20" s="114" customFormat="1" ht="15">
      <c r="A1282" s="114">
        <v>4</v>
      </c>
      <c r="B1282" s="22"/>
      <c r="C1282" s="25"/>
      <c r="D1282" s="26"/>
      <c r="E1282" s="24"/>
      <c r="G1282" s="117"/>
      <c r="H1282" s="29"/>
      <c r="I1282" s="30"/>
      <c r="J1282" s="26"/>
      <c r="K1282" s="111"/>
      <c r="L1282" s="26"/>
      <c r="M1282" s="31"/>
      <c r="Q1282" s="117"/>
      <c r="R1282" s="117"/>
      <c r="S1282" s="117"/>
      <c r="T1282" s="116"/>
    </row>
    <row r="1283" spans="2:20" s="114" customFormat="1" ht="15">
      <c r="B1283" s="22"/>
      <c r="C1283" s="25"/>
      <c r="D1283" s="26"/>
      <c r="E1283" s="24"/>
      <c r="F1283" s="22"/>
      <c r="G1283" s="117"/>
      <c r="H1283" s="29"/>
      <c r="I1283" s="30"/>
      <c r="J1283" s="26"/>
      <c r="K1283" s="111"/>
      <c r="L1283" s="26"/>
      <c r="M1283" s="31"/>
      <c r="Q1283" s="117"/>
      <c r="R1283" s="117"/>
      <c r="S1283" s="117"/>
      <c r="T1283" s="116"/>
    </row>
    <row r="1284" spans="1:20" s="114" customFormat="1" ht="30.75" customHeight="1">
      <c r="A1284" s="130" t="s">
        <v>398</v>
      </c>
      <c r="B1284" s="384" t="s">
        <v>392</v>
      </c>
      <c r="C1284" s="384"/>
      <c r="D1284" s="384"/>
      <c r="E1284" s="384"/>
      <c r="F1284" s="384"/>
      <c r="G1284" s="384"/>
      <c r="H1284" s="384"/>
      <c r="I1284" s="384"/>
      <c r="J1284" s="384"/>
      <c r="K1284" s="384"/>
      <c r="L1284" s="384"/>
      <c r="M1284" s="384"/>
      <c r="N1284" s="384"/>
      <c r="O1284" s="92"/>
      <c r="P1284" s="92"/>
      <c r="Q1284" s="104"/>
      <c r="R1284" s="104"/>
      <c r="S1284" s="107"/>
      <c r="T1284" s="109"/>
    </row>
    <row r="1285" spans="1:22" s="114" customFormat="1" ht="15">
      <c r="A1285" s="2" t="s">
        <v>0</v>
      </c>
      <c r="B1285" s="3" t="s">
        <v>1</v>
      </c>
      <c r="C1285" s="4" t="s">
        <v>2</v>
      </c>
      <c r="D1285" s="5" t="s">
        <v>3</v>
      </c>
      <c r="E1285" s="6" t="s">
        <v>4</v>
      </c>
      <c r="F1285" s="3" t="s">
        <v>5</v>
      </c>
      <c r="G1285" s="7" t="s">
        <v>2</v>
      </c>
      <c r="H1285" s="6" t="s">
        <v>6</v>
      </c>
      <c r="I1285" s="6" t="s">
        <v>7</v>
      </c>
      <c r="J1285" s="8" t="s">
        <v>8</v>
      </c>
      <c r="K1285" s="9" t="s">
        <v>9</v>
      </c>
      <c r="L1285" s="10" t="s">
        <v>10</v>
      </c>
      <c r="M1285" s="11" t="s">
        <v>11</v>
      </c>
      <c r="N1285" s="103" t="s">
        <v>53</v>
      </c>
      <c r="O1285" s="105" t="s">
        <v>110</v>
      </c>
      <c r="P1285" s="106" t="s">
        <v>0</v>
      </c>
      <c r="Q1285" s="117" t="s">
        <v>13</v>
      </c>
      <c r="R1285" s="117" t="s">
        <v>70</v>
      </c>
      <c r="S1285" s="111" t="s">
        <v>103</v>
      </c>
      <c r="T1285" s="116" t="s">
        <v>107</v>
      </c>
      <c r="V1285" s="9"/>
    </row>
    <row r="1286" spans="1:20" s="114" customFormat="1" ht="15">
      <c r="A1286" s="12" t="s">
        <v>65</v>
      </c>
      <c r="B1286" s="13">
        <v>42221.27638888889</v>
      </c>
      <c r="C1286" s="14">
        <v>36.01</v>
      </c>
      <c r="D1286" s="15">
        <v>2800</v>
      </c>
      <c r="E1286" s="15">
        <f aca="true" t="shared" si="214" ref="E1286:E1297">C1286*D1286+11</f>
        <v>100839</v>
      </c>
      <c r="F1286" s="13"/>
      <c r="G1286" s="14">
        <v>38.41</v>
      </c>
      <c r="H1286" s="15">
        <f aca="true" t="shared" si="215" ref="H1286:H1297">G1286*D1286</f>
        <v>107547.99999999999</v>
      </c>
      <c r="I1286" s="16">
        <f aca="true" t="shared" si="216" ref="I1286:I1297">H1286-E1286</f>
        <v>6708.999999999985</v>
      </c>
      <c r="J1286" s="19">
        <f aca="true" t="shared" si="217" ref="J1286:J1297">I1286/E1286</f>
        <v>0.06653179821299285</v>
      </c>
      <c r="K1286" s="95" t="s">
        <v>315</v>
      </c>
      <c r="L1286" s="119">
        <v>35.55</v>
      </c>
      <c r="M1286" s="41">
        <f aca="true" t="shared" si="218" ref="M1286:M1297">C1286*0.93</f>
        <v>33.4893</v>
      </c>
      <c r="N1286" s="117">
        <v>40.96</v>
      </c>
      <c r="O1286" s="121">
        <v>42290</v>
      </c>
      <c r="P1286" s="116" t="s">
        <v>65</v>
      </c>
      <c r="Q1286" s="117">
        <v>41.58</v>
      </c>
      <c r="R1286" s="118">
        <f>Q1286*0.855</f>
        <v>35.5509</v>
      </c>
      <c r="S1286" s="117">
        <f>1.11*C1286</f>
        <v>39.9711</v>
      </c>
      <c r="T1286" s="116"/>
    </row>
    <row r="1287" spans="1:20" s="114" customFormat="1" ht="15">
      <c r="A1287" s="12" t="s">
        <v>65</v>
      </c>
      <c r="B1287" s="13">
        <v>42221.322222222225</v>
      </c>
      <c r="C1287" s="14">
        <v>37.24</v>
      </c>
      <c r="D1287" s="15">
        <v>1700</v>
      </c>
      <c r="E1287" s="15">
        <f t="shared" si="214"/>
        <v>63319</v>
      </c>
      <c r="F1287" s="13"/>
      <c r="G1287" s="14">
        <v>38.41</v>
      </c>
      <c r="H1287" s="15">
        <f t="shared" si="215"/>
        <v>65296.99999999999</v>
      </c>
      <c r="I1287" s="16">
        <f t="shared" si="216"/>
        <v>1977.9999999999927</v>
      </c>
      <c r="J1287" s="19">
        <f t="shared" si="217"/>
        <v>0.031238648746821533</v>
      </c>
      <c r="K1287" s="95" t="s">
        <v>317</v>
      </c>
      <c r="L1287" s="119">
        <v>35.55</v>
      </c>
      <c r="M1287" s="41">
        <f t="shared" si="218"/>
        <v>34.6332</v>
      </c>
      <c r="N1287" s="117">
        <v>40.96</v>
      </c>
      <c r="P1287" s="116" t="s">
        <v>65</v>
      </c>
      <c r="Q1287" s="117"/>
      <c r="R1287" s="117"/>
      <c r="S1287" s="117"/>
      <c r="T1287" s="116"/>
    </row>
    <row r="1288" spans="1:20" s="114" customFormat="1" ht="15">
      <c r="A1288" s="12" t="s">
        <v>65</v>
      </c>
      <c r="B1288" s="13">
        <v>42221.35763888889</v>
      </c>
      <c r="C1288" s="14">
        <v>37.53</v>
      </c>
      <c r="D1288" s="15">
        <v>1000</v>
      </c>
      <c r="E1288" s="15">
        <f t="shared" si="214"/>
        <v>37541</v>
      </c>
      <c r="F1288" s="13"/>
      <c r="G1288" s="14">
        <v>38.41</v>
      </c>
      <c r="H1288" s="15">
        <f t="shared" si="215"/>
        <v>38410</v>
      </c>
      <c r="I1288" s="16">
        <f t="shared" si="216"/>
        <v>869</v>
      </c>
      <c r="J1288" s="19">
        <f t="shared" si="217"/>
        <v>0.023148024826190033</v>
      </c>
      <c r="K1288" s="95" t="s">
        <v>316</v>
      </c>
      <c r="L1288" s="119">
        <v>35.55</v>
      </c>
      <c r="M1288" s="41">
        <f t="shared" si="218"/>
        <v>34.9029</v>
      </c>
      <c r="N1288" s="117">
        <v>40.96</v>
      </c>
      <c r="P1288" s="116" t="s">
        <v>65</v>
      </c>
      <c r="Q1288" s="117"/>
      <c r="R1288" s="117"/>
      <c r="S1288" s="117"/>
      <c r="T1288" s="116"/>
    </row>
    <row r="1289" spans="1:20" s="114" customFormat="1" ht="15">
      <c r="A1289" s="12" t="s">
        <v>383</v>
      </c>
      <c r="B1289" s="13">
        <v>42242.48333333333</v>
      </c>
      <c r="C1289" s="14">
        <v>64.98</v>
      </c>
      <c r="D1289" s="15">
        <v>1600</v>
      </c>
      <c r="E1289" s="15">
        <f t="shared" si="214"/>
        <v>103979</v>
      </c>
      <c r="F1289" s="13"/>
      <c r="G1289" s="14">
        <v>75.2</v>
      </c>
      <c r="H1289" s="15">
        <f t="shared" si="215"/>
        <v>120320</v>
      </c>
      <c r="I1289" s="16">
        <f t="shared" si="216"/>
        <v>16341</v>
      </c>
      <c r="J1289" s="19">
        <f t="shared" si="217"/>
        <v>0.15715673357120188</v>
      </c>
      <c r="K1289" s="95" t="s">
        <v>384</v>
      </c>
      <c r="L1289" s="119">
        <v>66.48</v>
      </c>
      <c r="M1289" s="41">
        <f t="shared" si="218"/>
        <v>60.431400000000004</v>
      </c>
      <c r="N1289" s="117">
        <v>88.5</v>
      </c>
      <c r="O1289" s="121">
        <v>42300</v>
      </c>
      <c r="P1289" s="116" t="s">
        <v>383</v>
      </c>
      <c r="Q1289" s="117">
        <v>77.75</v>
      </c>
      <c r="R1289" s="118">
        <f>Q1289*0.855</f>
        <v>66.47625</v>
      </c>
      <c r="S1289" s="117">
        <f>1.11*C1289</f>
        <v>72.12780000000001</v>
      </c>
      <c r="T1289" s="116"/>
    </row>
    <row r="1290" spans="1:20" s="114" customFormat="1" ht="15">
      <c r="A1290" s="12" t="s">
        <v>383</v>
      </c>
      <c r="B1290" s="13">
        <v>42242.53611111111</v>
      </c>
      <c r="C1290" s="14">
        <v>67.31</v>
      </c>
      <c r="D1290" s="15">
        <v>900</v>
      </c>
      <c r="E1290" s="15">
        <f t="shared" si="214"/>
        <v>60590</v>
      </c>
      <c r="F1290" s="13"/>
      <c r="G1290" s="14">
        <v>75.2</v>
      </c>
      <c r="H1290" s="15">
        <f t="shared" si="215"/>
        <v>67680</v>
      </c>
      <c r="I1290" s="16">
        <f t="shared" si="216"/>
        <v>7090</v>
      </c>
      <c r="J1290" s="19">
        <f t="shared" si="217"/>
        <v>0.11701600924244925</v>
      </c>
      <c r="K1290" s="95" t="s">
        <v>386</v>
      </c>
      <c r="L1290" s="119">
        <v>66.48</v>
      </c>
      <c r="M1290" s="41">
        <f t="shared" si="218"/>
        <v>62.59830000000001</v>
      </c>
      <c r="N1290" s="117">
        <v>89.5</v>
      </c>
      <c r="P1290" s="116" t="s">
        <v>383</v>
      </c>
      <c r="Q1290" s="117"/>
      <c r="R1290" s="117"/>
      <c r="S1290" s="117"/>
      <c r="T1290" s="116"/>
    </row>
    <row r="1291" spans="1:20" s="114" customFormat="1" ht="15">
      <c r="A1291" s="12" t="s">
        <v>383</v>
      </c>
      <c r="B1291" s="13">
        <v>42243.32013888889</v>
      </c>
      <c r="C1291" s="14">
        <v>69.5</v>
      </c>
      <c r="D1291" s="15">
        <v>570</v>
      </c>
      <c r="E1291" s="15">
        <f t="shared" si="214"/>
        <v>39626</v>
      </c>
      <c r="F1291" s="13"/>
      <c r="G1291" s="14">
        <v>75.2</v>
      </c>
      <c r="H1291" s="15">
        <f t="shared" si="215"/>
        <v>42864</v>
      </c>
      <c r="I1291" s="16">
        <f t="shared" si="216"/>
        <v>3238</v>
      </c>
      <c r="J1291" s="19">
        <f t="shared" si="217"/>
        <v>0.08171402614445061</v>
      </c>
      <c r="K1291" s="95" t="s">
        <v>385</v>
      </c>
      <c r="L1291" s="119">
        <v>66.48</v>
      </c>
      <c r="M1291" s="41">
        <f t="shared" si="218"/>
        <v>64.635</v>
      </c>
      <c r="N1291" s="117">
        <v>89.5</v>
      </c>
      <c r="P1291" s="116" t="s">
        <v>383</v>
      </c>
      <c r="Q1291" s="117"/>
      <c r="R1291" s="117"/>
      <c r="S1291" s="117"/>
      <c r="T1291" s="116"/>
    </row>
    <row r="1292" spans="1:20" s="114" customFormat="1" ht="15">
      <c r="A1292" s="12" t="s">
        <v>388</v>
      </c>
      <c r="B1292" s="13">
        <v>42244.365277777775</v>
      </c>
      <c r="C1292" s="14">
        <v>139.5</v>
      </c>
      <c r="D1292" s="15">
        <v>720</v>
      </c>
      <c r="E1292" s="15">
        <f t="shared" si="214"/>
        <v>100451</v>
      </c>
      <c r="F1292" s="13"/>
      <c r="G1292" s="14">
        <v>145.53</v>
      </c>
      <c r="H1292" s="15">
        <f t="shared" si="215"/>
        <v>104781.6</v>
      </c>
      <c r="I1292" s="16">
        <f t="shared" si="216"/>
        <v>4330.600000000006</v>
      </c>
      <c r="J1292" s="19">
        <f t="shared" si="217"/>
        <v>0.04311156683358061</v>
      </c>
      <c r="K1292" s="95" t="s">
        <v>387</v>
      </c>
      <c r="L1292" s="119"/>
      <c r="M1292" s="20">
        <f t="shared" si="218"/>
        <v>129.735</v>
      </c>
      <c r="N1292" s="117">
        <v>179.43</v>
      </c>
      <c r="O1292" s="121">
        <v>42313</v>
      </c>
      <c r="P1292" s="116" t="s">
        <v>388</v>
      </c>
      <c r="Q1292" s="117">
        <v>145.65</v>
      </c>
      <c r="R1292" s="118"/>
      <c r="S1292" s="117">
        <f>1.11*C1292</f>
        <v>154.84500000000003</v>
      </c>
      <c r="T1292" s="116"/>
    </row>
    <row r="1293" spans="1:20" s="114" customFormat="1" ht="15">
      <c r="A1293" s="85" t="s">
        <v>388</v>
      </c>
      <c r="B1293" s="13">
        <v>42255.47430555556</v>
      </c>
      <c r="C1293" s="14">
        <v>141.06</v>
      </c>
      <c r="D1293" s="15">
        <v>430</v>
      </c>
      <c r="E1293" s="15">
        <f t="shared" si="214"/>
        <v>60666.8</v>
      </c>
      <c r="F1293" s="13"/>
      <c r="G1293" s="14">
        <v>145.53</v>
      </c>
      <c r="H1293" s="15">
        <f t="shared" si="215"/>
        <v>62577.9</v>
      </c>
      <c r="I1293" s="16">
        <f t="shared" si="216"/>
        <v>1911.0999999999985</v>
      </c>
      <c r="J1293" s="19">
        <f t="shared" si="217"/>
        <v>0.03150157911740851</v>
      </c>
      <c r="K1293" s="95" t="s">
        <v>394</v>
      </c>
      <c r="L1293" s="119"/>
      <c r="M1293" s="20">
        <f t="shared" si="218"/>
        <v>131.1858</v>
      </c>
      <c r="N1293" s="117">
        <v>179.43</v>
      </c>
      <c r="O1293" s="113"/>
      <c r="P1293" s="116" t="s">
        <v>388</v>
      </c>
      <c r="Q1293" s="117"/>
      <c r="R1293" s="118"/>
      <c r="S1293" s="117"/>
      <c r="T1293" s="116"/>
    </row>
    <row r="1294" spans="1:20" s="114" customFormat="1" ht="15">
      <c r="A1294" s="85" t="s">
        <v>388</v>
      </c>
      <c r="B1294" s="13">
        <v>42257.325</v>
      </c>
      <c r="C1294" s="14">
        <v>143.71</v>
      </c>
      <c r="D1294" s="15">
        <v>280</v>
      </c>
      <c r="E1294" s="15">
        <f t="shared" si="214"/>
        <v>40249.8</v>
      </c>
      <c r="F1294" s="13"/>
      <c r="G1294" s="14">
        <v>145.53</v>
      </c>
      <c r="H1294" s="15">
        <f t="shared" si="215"/>
        <v>40748.4</v>
      </c>
      <c r="I1294" s="16">
        <f t="shared" si="216"/>
        <v>498.59999999999854</v>
      </c>
      <c r="J1294" s="19">
        <f t="shared" si="217"/>
        <v>0.01238763919323819</v>
      </c>
      <c r="K1294" s="95" t="s">
        <v>395</v>
      </c>
      <c r="L1294" s="119"/>
      <c r="M1294" s="20">
        <f t="shared" si="218"/>
        <v>133.65030000000002</v>
      </c>
      <c r="N1294" s="117">
        <v>179.43</v>
      </c>
      <c r="O1294" s="113"/>
      <c r="P1294" s="116" t="s">
        <v>388</v>
      </c>
      <c r="Q1294" s="117"/>
      <c r="R1294" s="118"/>
      <c r="S1294" s="117"/>
      <c r="T1294" s="116"/>
    </row>
    <row r="1295" spans="1:20" s="114" customFormat="1" ht="15">
      <c r="A1295" s="12" t="s">
        <v>390</v>
      </c>
      <c r="B1295" s="13">
        <v>42250.32430555556</v>
      </c>
      <c r="C1295" s="14">
        <v>74.24</v>
      </c>
      <c r="D1295" s="15">
        <v>1350</v>
      </c>
      <c r="E1295" s="15">
        <f t="shared" si="214"/>
        <v>100235</v>
      </c>
      <c r="F1295" s="13"/>
      <c r="G1295" s="14">
        <v>80.75</v>
      </c>
      <c r="H1295" s="15">
        <f t="shared" si="215"/>
        <v>109012.5</v>
      </c>
      <c r="I1295" s="16">
        <f t="shared" si="216"/>
        <v>8777.5</v>
      </c>
      <c r="J1295" s="19">
        <f t="shared" si="217"/>
        <v>0.08756921235097521</v>
      </c>
      <c r="K1295" s="95" t="s">
        <v>391</v>
      </c>
      <c r="L1295" s="119"/>
      <c r="M1295" s="20">
        <f t="shared" si="218"/>
        <v>69.0432</v>
      </c>
      <c r="N1295" s="117">
        <v>92.48</v>
      </c>
      <c r="O1295" s="121">
        <v>42275</v>
      </c>
      <c r="P1295" s="116" t="s">
        <v>390</v>
      </c>
      <c r="Q1295" s="117">
        <v>81.54</v>
      </c>
      <c r="R1295" s="118"/>
      <c r="S1295" s="117">
        <f>1.11*C1295</f>
        <v>82.4064</v>
      </c>
      <c r="T1295" s="116"/>
    </row>
    <row r="1296" spans="1:20" s="114" customFormat="1" ht="15">
      <c r="A1296" s="85" t="s">
        <v>390</v>
      </c>
      <c r="B1296" s="13">
        <v>42255.49652777778</v>
      </c>
      <c r="C1296" s="14">
        <v>76.19</v>
      </c>
      <c r="D1296" s="15">
        <v>790</v>
      </c>
      <c r="E1296" s="15">
        <f t="shared" si="214"/>
        <v>60201.1</v>
      </c>
      <c r="F1296" s="13"/>
      <c r="G1296" s="14">
        <v>80.75</v>
      </c>
      <c r="H1296" s="15">
        <f t="shared" si="215"/>
        <v>63792.5</v>
      </c>
      <c r="I1296" s="16">
        <f t="shared" si="216"/>
        <v>3591.4000000000015</v>
      </c>
      <c r="J1296" s="19">
        <f t="shared" si="217"/>
        <v>0.05965671723606382</v>
      </c>
      <c r="K1296" s="95" t="s">
        <v>396</v>
      </c>
      <c r="L1296" s="119"/>
      <c r="M1296" s="20">
        <f t="shared" si="218"/>
        <v>70.8567</v>
      </c>
      <c r="N1296" s="117">
        <v>92.48</v>
      </c>
      <c r="O1296" s="87"/>
      <c r="P1296" s="116" t="s">
        <v>390</v>
      </c>
      <c r="Q1296" s="117"/>
      <c r="R1296" s="118"/>
      <c r="S1296" s="117"/>
      <c r="T1296" s="116"/>
    </row>
    <row r="1297" spans="1:20" s="114" customFormat="1" ht="15">
      <c r="A1297" s="85" t="s">
        <v>390</v>
      </c>
      <c r="B1297" s="13">
        <v>42256.27569444444</v>
      </c>
      <c r="C1297" s="14">
        <v>77.75</v>
      </c>
      <c r="D1297" s="15">
        <v>510</v>
      </c>
      <c r="E1297" s="15">
        <f t="shared" si="214"/>
        <v>39663.5</v>
      </c>
      <c r="F1297" s="13"/>
      <c r="G1297" s="14">
        <v>80.75</v>
      </c>
      <c r="H1297" s="15">
        <f t="shared" si="215"/>
        <v>41182.5</v>
      </c>
      <c r="I1297" s="16">
        <f t="shared" si="216"/>
        <v>1519</v>
      </c>
      <c r="J1297" s="19">
        <f t="shared" si="217"/>
        <v>0.03829717498455759</v>
      </c>
      <c r="K1297" s="95" t="s">
        <v>397</v>
      </c>
      <c r="L1297" s="119"/>
      <c r="M1297" s="20">
        <f t="shared" si="218"/>
        <v>72.3075</v>
      </c>
      <c r="N1297" s="117">
        <v>92.48</v>
      </c>
      <c r="O1297" s="87"/>
      <c r="P1297" s="116" t="s">
        <v>390</v>
      </c>
      <c r="Q1297" s="117"/>
      <c r="R1297" s="118"/>
      <c r="S1297" s="117"/>
      <c r="T1297" s="116"/>
    </row>
    <row r="1298" spans="1:20" s="114" customFormat="1" ht="15">
      <c r="A1298" s="12"/>
      <c r="B1298" s="13"/>
      <c r="C1298" s="14"/>
      <c r="D1298" s="15"/>
      <c r="E1298" s="15"/>
      <c r="G1298" s="14"/>
      <c r="H1298" s="15"/>
      <c r="I1298" s="16"/>
      <c r="J1298" s="19"/>
      <c r="K1298" s="95"/>
      <c r="L1298" s="119"/>
      <c r="M1298" s="32"/>
      <c r="N1298" s="117"/>
      <c r="P1298" s="116"/>
      <c r="Q1298" s="117"/>
      <c r="R1298" s="117"/>
      <c r="S1298" s="117"/>
      <c r="T1298" s="116"/>
    </row>
    <row r="1299" spans="1:33" s="114" customFormat="1" ht="15">
      <c r="A1299" s="21" t="s">
        <v>14</v>
      </c>
      <c r="B1299" s="22"/>
      <c r="C1299" s="23"/>
      <c r="D1299" s="24"/>
      <c r="E1299" s="24">
        <f>SUM(E1286:E1298)</f>
        <v>807361.2000000001</v>
      </c>
      <c r="F1299" s="13"/>
      <c r="G1299" s="23"/>
      <c r="H1299" s="24">
        <f>SUM(H1286:H1298)</f>
        <v>864214.4</v>
      </c>
      <c r="I1299" s="25">
        <f>SUM(I1286:I1298)</f>
        <v>56853.19999999998</v>
      </c>
      <c r="J1299" s="26">
        <f>I1299/E1299</f>
        <v>0.07041854376950488</v>
      </c>
      <c r="K1299" s="27" t="s">
        <v>15</v>
      </c>
      <c r="L1299" s="28">
        <f>100000+I1301</f>
        <v>615982.41</v>
      </c>
      <c r="M1299" s="81"/>
      <c r="N1299" s="89"/>
      <c r="Q1299" s="117"/>
      <c r="R1299" s="117"/>
      <c r="S1299" s="117"/>
      <c r="T1299" s="116"/>
      <c r="X1299" s="114" t="s">
        <v>371</v>
      </c>
      <c r="Z1299" s="114" t="s">
        <v>17</v>
      </c>
      <c r="AC1299" s="114" t="s">
        <v>372</v>
      </c>
      <c r="AE1299" s="114" t="s">
        <v>373</v>
      </c>
      <c r="AG1299" s="114" t="s">
        <v>374</v>
      </c>
    </row>
    <row r="1300" spans="1:33" s="114" customFormat="1" ht="15">
      <c r="A1300" s="12" t="s">
        <v>67</v>
      </c>
      <c r="B1300" s="22"/>
      <c r="C1300" s="25">
        <f>I1301-I1281</f>
        <v>43016.70000000001</v>
      </c>
      <c r="D1300" s="26">
        <f>C1300/H1279</f>
        <v>0.06933519659776942</v>
      </c>
      <c r="E1300" s="24"/>
      <c r="F1300" s="22" t="s">
        <v>16</v>
      </c>
      <c r="G1300" s="117"/>
      <c r="H1300" s="29" t="str">
        <f>IF(ABS(H1299-E1299-I1299)&lt;1,"","ERROR")</f>
        <v/>
      </c>
      <c r="I1300" s="16">
        <v>459129.21</v>
      </c>
      <c r="J1300" s="26"/>
      <c r="K1300" s="111" t="s">
        <v>17</v>
      </c>
      <c r="L1300" s="28">
        <f>(2*(100000+I1301))-E1299</f>
        <v>424603.62</v>
      </c>
      <c r="M1300" s="31"/>
      <c r="Q1300" s="117"/>
      <c r="R1300" s="117"/>
      <c r="S1300" s="117"/>
      <c r="T1300" s="116"/>
      <c r="X1300" s="29" t="e">
        <f>E1299-#REF!-#REF!-#REF!</f>
        <v>#REF!</v>
      </c>
      <c r="Z1300" s="29">
        <f>E1299+L1300</f>
        <v>1231964.82</v>
      </c>
      <c r="AC1300" s="29" t="e">
        <f>#REF!+#REF!+#REF!</f>
        <v>#REF!</v>
      </c>
      <c r="AE1300" s="29" t="e">
        <f>X1300-AC1300</f>
        <v>#REF!</v>
      </c>
      <c r="AG1300" s="155" t="e">
        <f>AE1300/Z1300</f>
        <v>#REF!</v>
      </c>
    </row>
    <row r="1301" spans="1:20" s="114" customFormat="1" ht="15">
      <c r="A1301" s="12" t="s">
        <v>54</v>
      </c>
      <c r="B1301" s="22"/>
      <c r="C1301" s="25">
        <f>L1299-L1279</f>
        <v>43016.70000000007</v>
      </c>
      <c r="D1301" s="26">
        <f>C1301/L1279</f>
        <v>0.07507726771293184</v>
      </c>
      <c r="E1301" s="24"/>
      <c r="F1301" s="22" t="s">
        <v>18</v>
      </c>
      <c r="G1301" s="117"/>
      <c r="H1301" s="29"/>
      <c r="I1301" s="30">
        <f>I1299+I1300</f>
        <v>515982.41000000003</v>
      </c>
      <c r="J1301" s="26">
        <f>I1301/100000</f>
        <v>5.159824100000001</v>
      </c>
      <c r="K1301" s="111" t="s">
        <v>19</v>
      </c>
      <c r="L1301" s="26">
        <f>E1299/(2*(100000+I1301))</f>
        <v>0.6553443628365947</v>
      </c>
      <c r="M1301" s="31"/>
      <c r="Q1301" s="117"/>
      <c r="R1301" s="117"/>
      <c r="S1301" s="117"/>
      <c r="T1301" s="116"/>
    </row>
    <row r="1302" spans="1:20" s="114" customFormat="1" ht="15">
      <c r="A1302" s="114">
        <v>4</v>
      </c>
      <c r="B1302" s="22"/>
      <c r="C1302" s="25"/>
      <c r="D1302" s="26"/>
      <c r="E1302" s="24"/>
      <c r="G1302" s="117"/>
      <c r="H1302" s="29"/>
      <c r="I1302" s="30"/>
      <c r="J1302" s="26"/>
      <c r="K1302" s="111"/>
      <c r="L1302" s="26"/>
      <c r="M1302" s="31"/>
      <c r="Q1302" s="117"/>
      <c r="R1302" s="117"/>
      <c r="S1302" s="117"/>
      <c r="T1302" s="116"/>
    </row>
    <row r="1303" spans="2:20" s="114" customFormat="1" ht="15">
      <c r="B1303" s="22"/>
      <c r="C1303" s="25"/>
      <c r="D1303" s="26"/>
      <c r="E1303" s="24"/>
      <c r="F1303" s="22"/>
      <c r="G1303" s="117"/>
      <c r="H1303" s="29"/>
      <c r="I1303" s="30"/>
      <c r="J1303" s="26"/>
      <c r="K1303" s="111"/>
      <c r="L1303" s="26"/>
      <c r="M1303" s="31"/>
      <c r="Q1303" s="117"/>
      <c r="R1303" s="117"/>
      <c r="S1303" s="117"/>
      <c r="T1303" s="116"/>
    </row>
    <row r="1304" spans="1:20" s="114" customFormat="1" ht="30.75" customHeight="1">
      <c r="A1304" s="130" t="s">
        <v>398</v>
      </c>
      <c r="B1304" s="384" t="s">
        <v>393</v>
      </c>
      <c r="C1304" s="384"/>
      <c r="D1304" s="384"/>
      <c r="E1304" s="384"/>
      <c r="F1304" s="384"/>
      <c r="G1304" s="384"/>
      <c r="H1304" s="384"/>
      <c r="I1304" s="384"/>
      <c r="J1304" s="384"/>
      <c r="K1304" s="384"/>
      <c r="L1304" s="384"/>
      <c r="M1304" s="384"/>
      <c r="N1304" s="384"/>
      <c r="O1304" s="92"/>
      <c r="P1304" s="92"/>
      <c r="Q1304" s="104"/>
      <c r="R1304" s="104"/>
      <c r="S1304" s="107"/>
      <c r="T1304" s="109"/>
    </row>
    <row r="1305" spans="1:22" s="114" customFormat="1" ht="15">
      <c r="A1305" s="2" t="s">
        <v>0</v>
      </c>
      <c r="B1305" s="3" t="s">
        <v>1</v>
      </c>
      <c r="C1305" s="4" t="s">
        <v>2</v>
      </c>
      <c r="D1305" s="5" t="s">
        <v>3</v>
      </c>
      <c r="E1305" s="6" t="s">
        <v>4</v>
      </c>
      <c r="F1305" s="3" t="s">
        <v>5</v>
      </c>
      <c r="G1305" s="7" t="s">
        <v>2</v>
      </c>
      <c r="H1305" s="6" t="s">
        <v>6</v>
      </c>
      <c r="I1305" s="6" t="s">
        <v>7</v>
      </c>
      <c r="J1305" s="8" t="s">
        <v>8</v>
      </c>
      <c r="K1305" s="9" t="s">
        <v>9</v>
      </c>
      <c r="L1305" s="10" t="s">
        <v>10</v>
      </c>
      <c r="M1305" s="11" t="s">
        <v>11</v>
      </c>
      <c r="N1305" s="103" t="s">
        <v>53</v>
      </c>
      <c r="O1305" s="105" t="s">
        <v>110</v>
      </c>
      <c r="P1305" s="106" t="s">
        <v>0</v>
      </c>
      <c r="Q1305" s="117" t="s">
        <v>13</v>
      </c>
      <c r="R1305" s="117" t="s">
        <v>70</v>
      </c>
      <c r="S1305" s="111" t="s">
        <v>103</v>
      </c>
      <c r="T1305" s="116" t="s">
        <v>107</v>
      </c>
      <c r="V1305" s="9"/>
    </row>
    <row r="1306" spans="1:20" s="114" customFormat="1" ht="15">
      <c r="A1306" s="12" t="s">
        <v>383</v>
      </c>
      <c r="B1306" s="13">
        <v>42242.48333333333</v>
      </c>
      <c r="C1306" s="14">
        <v>64.98</v>
      </c>
      <c r="D1306" s="15">
        <v>1600</v>
      </c>
      <c r="E1306" s="15">
        <f aca="true" t="shared" si="219" ref="E1306:E1315">C1306*D1306+11</f>
        <v>103979</v>
      </c>
      <c r="F1306" s="13"/>
      <c r="G1306" s="14">
        <v>77.69</v>
      </c>
      <c r="H1306" s="15">
        <f aca="true" t="shared" si="220" ref="H1306:H1315">G1306*D1306</f>
        <v>124304</v>
      </c>
      <c r="I1306" s="16">
        <f aca="true" t="shared" si="221" ref="I1306:I1315">H1306-E1306</f>
        <v>20325</v>
      </c>
      <c r="J1306" s="19">
        <f aca="true" t="shared" si="222" ref="J1306:J1315">I1306/E1306</f>
        <v>0.19547216264822703</v>
      </c>
      <c r="K1306" s="95" t="s">
        <v>384</v>
      </c>
      <c r="L1306" s="119">
        <v>69.13</v>
      </c>
      <c r="M1306" s="41">
        <f aca="true" t="shared" si="223" ref="M1306:M1315">C1306*0.93</f>
        <v>60.431400000000004</v>
      </c>
      <c r="N1306" s="117">
        <v>88.5</v>
      </c>
      <c r="O1306" s="121">
        <v>42300</v>
      </c>
      <c r="P1306" s="116" t="s">
        <v>383</v>
      </c>
      <c r="Q1306" s="117">
        <v>80.85</v>
      </c>
      <c r="R1306" s="118">
        <f>Q1306*0.855</f>
        <v>69.12674999999999</v>
      </c>
      <c r="S1306" s="117">
        <f>1.11*C1306</f>
        <v>72.12780000000001</v>
      </c>
      <c r="T1306" s="116"/>
    </row>
    <row r="1307" spans="1:20" s="114" customFormat="1" ht="15">
      <c r="A1307" s="12" t="s">
        <v>383</v>
      </c>
      <c r="B1307" s="13">
        <v>42242.53611111111</v>
      </c>
      <c r="C1307" s="14">
        <v>67.31</v>
      </c>
      <c r="D1307" s="15">
        <v>900</v>
      </c>
      <c r="E1307" s="15">
        <f t="shared" si="219"/>
        <v>60590</v>
      </c>
      <c r="F1307" s="13"/>
      <c r="G1307" s="14">
        <v>77.69</v>
      </c>
      <c r="H1307" s="15">
        <f t="shared" si="220"/>
        <v>69921</v>
      </c>
      <c r="I1307" s="16">
        <f t="shared" si="221"/>
        <v>9331</v>
      </c>
      <c r="J1307" s="19">
        <f t="shared" si="222"/>
        <v>0.15400231061231226</v>
      </c>
      <c r="K1307" s="95" t="s">
        <v>386</v>
      </c>
      <c r="L1307" s="119">
        <v>69.13</v>
      </c>
      <c r="M1307" s="41">
        <f t="shared" si="223"/>
        <v>62.59830000000001</v>
      </c>
      <c r="N1307" s="117">
        <v>89.5</v>
      </c>
      <c r="P1307" s="116" t="s">
        <v>383</v>
      </c>
      <c r="Q1307" s="117"/>
      <c r="R1307" s="117"/>
      <c r="S1307" s="117"/>
      <c r="T1307" s="116"/>
    </row>
    <row r="1308" spans="1:20" s="114" customFormat="1" ht="15">
      <c r="A1308" s="12" t="s">
        <v>383</v>
      </c>
      <c r="B1308" s="13">
        <v>42243.32013888889</v>
      </c>
      <c r="C1308" s="14">
        <v>69.5</v>
      </c>
      <c r="D1308" s="15">
        <v>570</v>
      </c>
      <c r="E1308" s="15">
        <f t="shared" si="219"/>
        <v>39626</v>
      </c>
      <c r="F1308" s="13"/>
      <c r="G1308" s="14">
        <v>77.69</v>
      </c>
      <c r="H1308" s="15">
        <f t="shared" si="220"/>
        <v>44283.299999999996</v>
      </c>
      <c r="I1308" s="16">
        <f t="shared" si="221"/>
        <v>4657.299999999996</v>
      </c>
      <c r="J1308" s="19">
        <f t="shared" si="222"/>
        <v>0.11753141876545692</v>
      </c>
      <c r="K1308" s="95" t="s">
        <v>385</v>
      </c>
      <c r="L1308" s="119">
        <v>69.13</v>
      </c>
      <c r="M1308" s="41">
        <f t="shared" si="223"/>
        <v>64.635</v>
      </c>
      <c r="N1308" s="117">
        <v>89.5</v>
      </c>
      <c r="P1308" s="116" t="s">
        <v>383</v>
      </c>
      <c r="Q1308" s="117"/>
      <c r="R1308" s="117"/>
      <c r="S1308" s="117"/>
      <c r="T1308" s="116"/>
    </row>
    <row r="1309" spans="1:20" s="114" customFormat="1" ht="15">
      <c r="A1309" s="12" t="s">
        <v>388</v>
      </c>
      <c r="B1309" s="13">
        <v>42244.365277777775</v>
      </c>
      <c r="C1309" s="14">
        <v>139.5</v>
      </c>
      <c r="D1309" s="15">
        <v>720</v>
      </c>
      <c r="E1309" s="15">
        <f t="shared" si="219"/>
        <v>100451</v>
      </c>
      <c r="F1309" s="13"/>
      <c r="G1309" s="14">
        <v>148.82</v>
      </c>
      <c r="H1309" s="15">
        <f t="shared" si="220"/>
        <v>107150.4</v>
      </c>
      <c r="I1309" s="16">
        <f t="shared" si="221"/>
        <v>6699.399999999994</v>
      </c>
      <c r="J1309" s="19">
        <f t="shared" si="222"/>
        <v>0.06669321360663402</v>
      </c>
      <c r="K1309" s="95" t="s">
        <v>387</v>
      </c>
      <c r="L1309" s="119"/>
      <c r="M1309" s="20">
        <f t="shared" si="223"/>
        <v>129.735</v>
      </c>
      <c r="N1309" s="117">
        <v>179.43</v>
      </c>
      <c r="O1309" s="121">
        <v>42313</v>
      </c>
      <c r="P1309" s="116" t="s">
        <v>388</v>
      </c>
      <c r="Q1309" s="117">
        <v>152.91</v>
      </c>
      <c r="R1309" s="118"/>
      <c r="S1309" s="117">
        <f>1.11*C1309</f>
        <v>154.84500000000003</v>
      </c>
      <c r="T1309" s="116"/>
    </row>
    <row r="1310" spans="1:20" s="114" customFormat="1" ht="15">
      <c r="A1310" s="12" t="s">
        <v>388</v>
      </c>
      <c r="B1310" s="13">
        <v>42255.47430555556</v>
      </c>
      <c r="C1310" s="14">
        <v>141.06</v>
      </c>
      <c r="D1310" s="15">
        <v>430</v>
      </c>
      <c r="E1310" s="15">
        <f t="shared" si="219"/>
        <v>60666.8</v>
      </c>
      <c r="F1310" s="13"/>
      <c r="G1310" s="14">
        <v>148.82</v>
      </c>
      <c r="H1310" s="15">
        <f t="shared" si="220"/>
        <v>63992.6</v>
      </c>
      <c r="I1310" s="16">
        <f t="shared" si="221"/>
        <v>3325.7999999999956</v>
      </c>
      <c r="J1310" s="19">
        <f t="shared" si="222"/>
        <v>0.05482075863569523</v>
      </c>
      <c r="K1310" s="95" t="s">
        <v>394</v>
      </c>
      <c r="L1310" s="119"/>
      <c r="M1310" s="20">
        <f t="shared" si="223"/>
        <v>131.1858</v>
      </c>
      <c r="N1310" s="117">
        <v>179.43</v>
      </c>
      <c r="O1310" s="113"/>
      <c r="P1310" s="116" t="s">
        <v>388</v>
      </c>
      <c r="Q1310" s="117"/>
      <c r="R1310" s="118"/>
      <c r="S1310" s="117"/>
      <c r="T1310" s="116"/>
    </row>
    <row r="1311" spans="1:20" s="114" customFormat="1" ht="15">
      <c r="A1311" s="12" t="s">
        <v>388</v>
      </c>
      <c r="B1311" s="13">
        <v>42257.325</v>
      </c>
      <c r="C1311" s="14">
        <v>143.71</v>
      </c>
      <c r="D1311" s="15">
        <v>280</v>
      </c>
      <c r="E1311" s="15">
        <f t="shared" si="219"/>
        <v>40249.8</v>
      </c>
      <c r="F1311" s="13"/>
      <c r="G1311" s="14">
        <v>148.82</v>
      </c>
      <c r="H1311" s="15">
        <f t="shared" si="220"/>
        <v>41669.6</v>
      </c>
      <c r="I1311" s="16">
        <f t="shared" si="221"/>
        <v>1419.7999999999956</v>
      </c>
      <c r="J1311" s="19">
        <f t="shared" si="222"/>
        <v>0.0352747094395499</v>
      </c>
      <c r="K1311" s="95" t="s">
        <v>395</v>
      </c>
      <c r="L1311" s="119"/>
      <c r="M1311" s="20">
        <f t="shared" si="223"/>
        <v>133.65030000000002</v>
      </c>
      <c r="N1311" s="117">
        <v>179.43</v>
      </c>
      <c r="O1311" s="113"/>
      <c r="P1311" s="116" t="s">
        <v>388</v>
      </c>
      <c r="Q1311" s="117"/>
      <c r="R1311" s="118"/>
      <c r="S1311" s="117"/>
      <c r="T1311" s="116"/>
    </row>
    <row r="1312" spans="1:20" s="114" customFormat="1" ht="15">
      <c r="A1312" s="12" t="s">
        <v>390</v>
      </c>
      <c r="B1312" s="13">
        <v>42250.32430555556</v>
      </c>
      <c r="C1312" s="14">
        <v>74.24</v>
      </c>
      <c r="D1312" s="15">
        <v>1350</v>
      </c>
      <c r="E1312" s="15">
        <f t="shared" si="219"/>
        <v>100235</v>
      </c>
      <c r="F1312" s="13"/>
      <c r="G1312" s="14">
        <v>77.92</v>
      </c>
      <c r="H1312" s="15">
        <f t="shared" si="220"/>
        <v>105192</v>
      </c>
      <c r="I1312" s="16">
        <f t="shared" si="221"/>
        <v>4957</v>
      </c>
      <c r="J1312" s="19">
        <f t="shared" si="222"/>
        <v>0.04945378360851998</v>
      </c>
      <c r="K1312" s="95" t="s">
        <v>391</v>
      </c>
      <c r="L1312" s="119"/>
      <c r="M1312" s="20">
        <f t="shared" si="223"/>
        <v>69.0432</v>
      </c>
      <c r="N1312" s="117">
        <v>92.48</v>
      </c>
      <c r="O1312" s="121">
        <v>42275</v>
      </c>
      <c r="P1312" s="116" t="s">
        <v>390</v>
      </c>
      <c r="Q1312" s="117">
        <v>81.54</v>
      </c>
      <c r="R1312" s="118"/>
      <c r="S1312" s="117">
        <f>1.11*C1312</f>
        <v>82.4064</v>
      </c>
      <c r="T1312" s="116"/>
    </row>
    <row r="1313" spans="1:20" s="114" customFormat="1" ht="15">
      <c r="A1313" s="12" t="s">
        <v>390</v>
      </c>
      <c r="B1313" s="13">
        <v>42255.49652777778</v>
      </c>
      <c r="C1313" s="14">
        <v>76.19</v>
      </c>
      <c r="D1313" s="15">
        <v>790</v>
      </c>
      <c r="E1313" s="15">
        <f t="shared" si="219"/>
        <v>60201.1</v>
      </c>
      <c r="F1313" s="13"/>
      <c r="G1313" s="14">
        <v>77.92</v>
      </c>
      <c r="H1313" s="15">
        <f t="shared" si="220"/>
        <v>61556.8</v>
      </c>
      <c r="I1313" s="16">
        <f t="shared" si="221"/>
        <v>1355.7000000000044</v>
      </c>
      <c r="J1313" s="19">
        <f t="shared" si="222"/>
        <v>0.022519522068533703</v>
      </c>
      <c r="K1313" s="95" t="s">
        <v>396</v>
      </c>
      <c r="L1313" s="119"/>
      <c r="M1313" s="20">
        <f t="shared" si="223"/>
        <v>70.8567</v>
      </c>
      <c r="N1313" s="117">
        <v>92.48</v>
      </c>
      <c r="O1313" s="87"/>
      <c r="P1313" s="116" t="s">
        <v>390</v>
      </c>
      <c r="Q1313" s="117"/>
      <c r="R1313" s="118"/>
      <c r="S1313" s="117"/>
      <c r="T1313" s="116"/>
    </row>
    <row r="1314" spans="1:20" s="114" customFormat="1" ht="15">
      <c r="A1314" s="12" t="s">
        <v>390</v>
      </c>
      <c r="B1314" s="13">
        <v>42256.27569444444</v>
      </c>
      <c r="C1314" s="14">
        <v>77.75</v>
      </c>
      <c r="D1314" s="15">
        <v>510</v>
      </c>
      <c r="E1314" s="15">
        <f t="shared" si="219"/>
        <v>39663.5</v>
      </c>
      <c r="F1314" s="13"/>
      <c r="G1314" s="14">
        <v>77.92</v>
      </c>
      <c r="H1314" s="15">
        <f t="shared" si="220"/>
        <v>39739.200000000004</v>
      </c>
      <c r="I1314" s="16">
        <f t="shared" si="221"/>
        <v>75.70000000000437</v>
      </c>
      <c r="J1314" s="19">
        <f t="shared" si="222"/>
        <v>0.0019085557250369829</v>
      </c>
      <c r="K1314" s="95" t="s">
        <v>397</v>
      </c>
      <c r="L1314" s="119"/>
      <c r="M1314" s="20">
        <f t="shared" si="223"/>
        <v>72.3075</v>
      </c>
      <c r="N1314" s="117">
        <v>92.48</v>
      </c>
      <c r="O1314" s="87"/>
      <c r="P1314" s="116" t="s">
        <v>390</v>
      </c>
      <c r="Q1314" s="117"/>
      <c r="R1314" s="118"/>
      <c r="S1314" s="117"/>
      <c r="T1314" s="116"/>
    </row>
    <row r="1315" spans="1:20" s="114" customFormat="1" ht="15">
      <c r="A1315" s="85" t="s">
        <v>406</v>
      </c>
      <c r="B1315" s="13">
        <v>42262.37986111111</v>
      </c>
      <c r="C1315" s="14">
        <v>71.51</v>
      </c>
      <c r="D1315" s="15">
        <v>1400</v>
      </c>
      <c r="E1315" s="15">
        <f t="shared" si="219"/>
        <v>100125</v>
      </c>
      <c r="F1315" s="13"/>
      <c r="G1315" s="14">
        <v>71.4</v>
      </c>
      <c r="H1315" s="15">
        <f t="shared" si="220"/>
        <v>99960.00000000001</v>
      </c>
      <c r="I1315" s="16">
        <f t="shared" si="221"/>
        <v>-164.99999999998545</v>
      </c>
      <c r="J1315" s="19">
        <f t="shared" si="222"/>
        <v>-0.0016479400749062217</v>
      </c>
      <c r="K1315" s="95" t="s">
        <v>407</v>
      </c>
      <c r="L1315" s="119"/>
      <c r="M1315" s="20">
        <f t="shared" si="223"/>
        <v>66.50430000000001</v>
      </c>
      <c r="N1315" s="117">
        <v>93.15</v>
      </c>
      <c r="O1315" s="87"/>
      <c r="P1315" s="116" t="s">
        <v>406</v>
      </c>
      <c r="Q1315" s="117"/>
      <c r="R1315" s="118"/>
      <c r="S1315" s="117">
        <f>1.11*C1315</f>
        <v>79.37610000000001</v>
      </c>
      <c r="T1315" s="116"/>
    </row>
    <row r="1316" spans="1:20" s="114" customFormat="1" ht="15">
      <c r="A1316" s="12"/>
      <c r="B1316" s="13"/>
      <c r="C1316" s="14"/>
      <c r="D1316" s="15"/>
      <c r="E1316" s="15"/>
      <c r="F1316" s="13"/>
      <c r="G1316" s="14"/>
      <c r="H1316" s="15"/>
      <c r="I1316" s="16"/>
      <c r="J1316" s="19"/>
      <c r="K1316" s="95"/>
      <c r="L1316" s="119"/>
      <c r="M1316" s="20"/>
      <c r="N1316" s="117"/>
      <c r="O1316" s="87"/>
      <c r="P1316" s="116"/>
      <c r="Q1316" s="117"/>
      <c r="R1316" s="118"/>
      <c r="S1316" s="117"/>
      <c r="T1316" s="116"/>
    </row>
    <row r="1317" spans="1:20" s="114" customFormat="1" ht="15">
      <c r="A1317" s="12"/>
      <c r="B1317" s="13"/>
      <c r="C1317" s="14"/>
      <c r="D1317" s="15"/>
      <c r="E1317" s="15"/>
      <c r="G1317" s="14"/>
      <c r="H1317" s="15"/>
      <c r="I1317" s="16"/>
      <c r="J1317" s="19"/>
      <c r="K1317" s="95"/>
      <c r="L1317" s="119"/>
      <c r="M1317" s="32"/>
      <c r="N1317" s="117"/>
      <c r="P1317" s="116"/>
      <c r="Q1317" s="117"/>
      <c r="R1317" s="117"/>
      <c r="S1317" s="117"/>
      <c r="T1317" s="116"/>
    </row>
    <row r="1318" spans="1:33" s="114" customFormat="1" ht="15">
      <c r="A1318" s="21" t="s">
        <v>14</v>
      </c>
      <c r="B1318" s="22"/>
      <c r="C1318" s="23"/>
      <c r="D1318" s="24"/>
      <c r="E1318" s="24">
        <f>SUM(E1306:E1317)</f>
        <v>705787.2</v>
      </c>
      <c r="F1318" s="13"/>
      <c r="G1318" s="23"/>
      <c r="H1318" s="24">
        <f>SUM(H1306:H1317)</f>
        <v>757768.8999999999</v>
      </c>
      <c r="I1318" s="25">
        <f>SUM(I1306:I1317)</f>
        <v>51981.700000000004</v>
      </c>
      <c r="J1318" s="26">
        <f>I1318/E1318</f>
        <v>0.07365066977695262</v>
      </c>
      <c r="K1318" s="27" t="s">
        <v>15</v>
      </c>
      <c r="L1318" s="28">
        <f>100000+I1320</f>
        <v>618576.91</v>
      </c>
      <c r="M1318" s="81"/>
      <c r="N1318" s="89"/>
      <c r="Q1318" s="117"/>
      <c r="R1318" s="117"/>
      <c r="S1318" s="117"/>
      <c r="T1318" s="116"/>
      <c r="X1318" s="114" t="s">
        <v>371</v>
      </c>
      <c r="Z1318" s="114" t="s">
        <v>17</v>
      </c>
      <c r="AC1318" s="114" t="s">
        <v>372</v>
      </c>
      <c r="AE1318" s="114" t="s">
        <v>373</v>
      </c>
      <c r="AG1318" s="114" t="s">
        <v>374</v>
      </c>
    </row>
    <row r="1319" spans="1:33" s="114" customFormat="1" ht="15">
      <c r="A1319" s="12" t="s">
        <v>67</v>
      </c>
      <c r="B1319" s="22"/>
      <c r="C1319" s="25">
        <f>I1320-I1301</f>
        <v>2594.5</v>
      </c>
      <c r="D1319" s="26">
        <f>C1319/H1299</f>
        <v>0.003002148540917624</v>
      </c>
      <c r="E1319" s="24"/>
      <c r="F1319" s="22" t="s">
        <v>16</v>
      </c>
      <c r="G1319" s="117"/>
      <c r="H1319" s="29" t="str">
        <f>IF(ABS(H1318-E1318-I1318)&lt;1,"","ERROR")</f>
        <v/>
      </c>
      <c r="I1319" s="16">
        <v>466595.21</v>
      </c>
      <c r="J1319" s="26"/>
      <c r="K1319" s="111" t="s">
        <v>17</v>
      </c>
      <c r="L1319" s="28">
        <f>(2*(100000+I1320))-E1318</f>
        <v>531366.6200000001</v>
      </c>
      <c r="M1319" s="31"/>
      <c r="Q1319" s="117"/>
      <c r="R1319" s="117"/>
      <c r="S1319" s="117"/>
      <c r="T1319" s="116"/>
      <c r="X1319" s="29" t="e">
        <f>E1318-#REF!-#REF!-#REF!</f>
        <v>#REF!</v>
      </c>
      <c r="Z1319" s="29">
        <f>E1318+L1319</f>
        <v>1237153.82</v>
      </c>
      <c r="AC1319" s="29" t="e">
        <f>#REF!+#REF!+#REF!</f>
        <v>#REF!</v>
      </c>
      <c r="AE1319" s="29" t="e">
        <f>X1319-AC1319</f>
        <v>#REF!</v>
      </c>
      <c r="AG1319" s="155" t="e">
        <f>AE1319/Z1319</f>
        <v>#REF!</v>
      </c>
    </row>
    <row r="1320" spans="1:20" s="114" customFormat="1" ht="15">
      <c r="A1320" s="12" t="s">
        <v>54</v>
      </c>
      <c r="B1320" s="22"/>
      <c r="C1320" s="25">
        <f>L1318-L1299</f>
        <v>2594.5</v>
      </c>
      <c r="D1320" s="26">
        <f>C1320/L1299</f>
        <v>0.004211970923000869</v>
      </c>
      <c r="E1320" s="24"/>
      <c r="F1320" s="22" t="s">
        <v>18</v>
      </c>
      <c r="G1320" s="117"/>
      <c r="H1320" s="29"/>
      <c r="I1320" s="30">
        <f>I1318+I1319</f>
        <v>518576.91000000003</v>
      </c>
      <c r="J1320" s="26">
        <f>I1320/100000</f>
        <v>5.1857691</v>
      </c>
      <c r="K1320" s="111" t="s">
        <v>19</v>
      </c>
      <c r="L1320" s="26">
        <f>E1318/(2*(100000+I1320))</f>
        <v>0.5704926813385258</v>
      </c>
      <c r="M1320" s="31"/>
      <c r="Q1320" s="117"/>
      <c r="R1320" s="117"/>
      <c r="S1320" s="117"/>
      <c r="T1320" s="116"/>
    </row>
    <row r="1321" spans="1:20" s="114" customFormat="1" ht="15">
      <c r="A1321" s="114">
        <v>4</v>
      </c>
      <c r="B1321" s="22"/>
      <c r="C1321" s="25"/>
      <c r="D1321" s="26"/>
      <c r="E1321" s="24"/>
      <c r="G1321" s="117"/>
      <c r="H1321" s="29"/>
      <c r="I1321" s="30"/>
      <c r="J1321" s="26"/>
      <c r="K1321" s="111"/>
      <c r="L1321" s="26"/>
      <c r="M1321" s="31"/>
      <c r="Q1321" s="117"/>
      <c r="R1321" s="117"/>
      <c r="S1321" s="117"/>
      <c r="T1321" s="116"/>
    </row>
    <row r="1322" spans="2:20" s="114" customFormat="1" ht="15">
      <c r="B1322" s="22"/>
      <c r="C1322" s="25"/>
      <c r="D1322" s="26"/>
      <c r="E1322" s="24"/>
      <c r="F1322" s="22"/>
      <c r="G1322" s="117"/>
      <c r="H1322" s="29"/>
      <c r="I1322" s="30"/>
      <c r="J1322" s="26"/>
      <c r="K1322" s="111"/>
      <c r="L1322" s="26"/>
      <c r="M1322" s="31"/>
      <c r="Q1322" s="117"/>
      <c r="R1322" s="117"/>
      <c r="S1322" s="117"/>
      <c r="T1322" s="116"/>
    </row>
    <row r="1323" spans="1:20" s="114" customFormat="1" ht="30.75" customHeight="1">
      <c r="A1323" s="130" t="s">
        <v>398</v>
      </c>
      <c r="B1323" s="384" t="s">
        <v>408</v>
      </c>
      <c r="C1323" s="384"/>
      <c r="D1323" s="384"/>
      <c r="E1323" s="384"/>
      <c r="F1323" s="384"/>
      <c r="G1323" s="384"/>
      <c r="H1323" s="384"/>
      <c r="I1323" s="384"/>
      <c r="J1323" s="384"/>
      <c r="K1323" s="384"/>
      <c r="L1323" s="384"/>
      <c r="M1323" s="384"/>
      <c r="N1323" s="384"/>
      <c r="O1323" s="92"/>
      <c r="P1323" s="92"/>
      <c r="Q1323" s="104"/>
      <c r="R1323" s="104"/>
      <c r="S1323" s="107"/>
      <c r="T1323" s="109"/>
    </row>
    <row r="1324" spans="1:22" s="114" customFormat="1" ht="15">
      <c r="A1324" s="2" t="s">
        <v>0</v>
      </c>
      <c r="B1324" s="3" t="s">
        <v>1</v>
      </c>
      <c r="C1324" s="4" t="s">
        <v>2</v>
      </c>
      <c r="D1324" s="5" t="s">
        <v>3</v>
      </c>
      <c r="E1324" s="6" t="s">
        <v>4</v>
      </c>
      <c r="F1324" s="3" t="s">
        <v>5</v>
      </c>
      <c r="G1324" s="7" t="s">
        <v>2</v>
      </c>
      <c r="H1324" s="6" t="s">
        <v>6</v>
      </c>
      <c r="I1324" s="6" t="s">
        <v>7</v>
      </c>
      <c r="J1324" s="8" t="s">
        <v>8</v>
      </c>
      <c r="K1324" s="9" t="s">
        <v>9</v>
      </c>
      <c r="L1324" s="10" t="s">
        <v>10</v>
      </c>
      <c r="M1324" s="11" t="s">
        <v>11</v>
      </c>
      <c r="N1324" s="103" t="s">
        <v>53</v>
      </c>
      <c r="O1324" s="105" t="s">
        <v>110</v>
      </c>
      <c r="P1324" s="106" t="s">
        <v>0</v>
      </c>
      <c r="Q1324" s="117" t="s">
        <v>13</v>
      </c>
      <c r="R1324" s="117" t="s">
        <v>70</v>
      </c>
      <c r="S1324" s="111" t="s">
        <v>103</v>
      </c>
      <c r="T1324" s="116" t="s">
        <v>107</v>
      </c>
      <c r="V1324" s="9"/>
    </row>
    <row r="1325" spans="1:20" s="114" customFormat="1" ht="15">
      <c r="A1325" s="12" t="s">
        <v>383</v>
      </c>
      <c r="B1325" s="13">
        <v>42242.48333333333</v>
      </c>
      <c r="C1325" s="14">
        <v>64.98</v>
      </c>
      <c r="D1325" s="15">
        <v>1600</v>
      </c>
      <c r="E1325" s="15">
        <f aca="true" t="shared" si="224" ref="E1325:E1333">C1325*D1325+11</f>
        <v>103979</v>
      </c>
      <c r="F1325" s="13"/>
      <c r="G1325" s="14">
        <v>76.48</v>
      </c>
      <c r="H1325" s="15">
        <f aca="true" t="shared" si="225" ref="H1325:H1333">G1325*D1325</f>
        <v>122368</v>
      </c>
      <c r="I1325" s="16">
        <f aca="true" t="shared" si="226" ref="I1325:I1333">H1325-E1325</f>
        <v>18389</v>
      </c>
      <c r="J1325" s="19">
        <f aca="true" t="shared" si="227" ref="J1325:J1333">I1325/E1325</f>
        <v>0.17685301839794573</v>
      </c>
      <c r="K1325" s="95" t="s">
        <v>384</v>
      </c>
      <c r="L1325" s="119">
        <v>69.13</v>
      </c>
      <c r="M1325" s="41">
        <f aca="true" t="shared" si="228" ref="M1325:M1333">C1325*0.93</f>
        <v>60.431400000000004</v>
      </c>
      <c r="N1325" s="117">
        <v>88.5</v>
      </c>
      <c r="O1325" s="121">
        <v>42300</v>
      </c>
      <c r="P1325" s="116" t="s">
        <v>383</v>
      </c>
      <c r="Q1325" s="117">
        <v>80.85</v>
      </c>
      <c r="R1325" s="118">
        <f>Q1325*0.855</f>
        <v>69.12674999999999</v>
      </c>
      <c r="S1325" s="117">
        <f>1.11*C1325</f>
        <v>72.12780000000001</v>
      </c>
      <c r="T1325" s="116"/>
    </row>
    <row r="1326" spans="1:20" s="114" customFormat="1" ht="15">
      <c r="A1326" s="12" t="s">
        <v>383</v>
      </c>
      <c r="B1326" s="13">
        <v>42242.53611111111</v>
      </c>
      <c r="C1326" s="14">
        <v>67.31</v>
      </c>
      <c r="D1326" s="15">
        <v>900</v>
      </c>
      <c r="E1326" s="15">
        <f t="shared" si="224"/>
        <v>60590</v>
      </c>
      <c r="F1326" s="13"/>
      <c r="G1326" s="14">
        <v>76.48</v>
      </c>
      <c r="H1326" s="15">
        <f t="shared" si="225"/>
        <v>68832</v>
      </c>
      <c r="I1326" s="16">
        <f t="shared" si="226"/>
        <v>8242</v>
      </c>
      <c r="J1326" s="19">
        <f t="shared" si="227"/>
        <v>0.13602904769763988</v>
      </c>
      <c r="K1326" s="95" t="s">
        <v>386</v>
      </c>
      <c r="L1326" s="119">
        <v>69.13</v>
      </c>
      <c r="M1326" s="41">
        <f t="shared" si="228"/>
        <v>62.59830000000001</v>
      </c>
      <c r="N1326" s="117">
        <v>89.5</v>
      </c>
      <c r="P1326" s="116" t="s">
        <v>383</v>
      </c>
      <c r="Q1326" s="117"/>
      <c r="R1326" s="117"/>
      <c r="S1326" s="117"/>
      <c r="T1326" s="116"/>
    </row>
    <row r="1327" spans="1:20" s="114" customFormat="1" ht="15">
      <c r="A1327" s="12" t="s">
        <v>383</v>
      </c>
      <c r="B1327" s="13">
        <v>42243.32013888889</v>
      </c>
      <c r="C1327" s="14">
        <v>69.5</v>
      </c>
      <c r="D1327" s="15">
        <v>570</v>
      </c>
      <c r="E1327" s="15">
        <f t="shared" si="224"/>
        <v>39626</v>
      </c>
      <c r="F1327" s="13"/>
      <c r="G1327" s="14">
        <v>76.48</v>
      </c>
      <c r="H1327" s="15">
        <f t="shared" si="225"/>
        <v>43593.600000000006</v>
      </c>
      <c r="I1327" s="16">
        <f t="shared" si="226"/>
        <v>3967.600000000006</v>
      </c>
      <c r="J1327" s="19">
        <f t="shared" si="227"/>
        <v>0.10012617978095205</v>
      </c>
      <c r="K1327" s="95" t="s">
        <v>385</v>
      </c>
      <c r="L1327" s="119">
        <v>69.13</v>
      </c>
      <c r="M1327" s="41">
        <f t="shared" si="228"/>
        <v>64.635</v>
      </c>
      <c r="N1327" s="117">
        <v>89.5</v>
      </c>
      <c r="P1327" s="116" t="s">
        <v>383</v>
      </c>
      <c r="Q1327" s="117"/>
      <c r="R1327" s="117"/>
      <c r="S1327" s="117"/>
      <c r="T1327" s="116"/>
    </row>
    <row r="1328" spans="1:20" s="114" customFormat="1" ht="15">
      <c r="A1328" s="12" t="s">
        <v>388</v>
      </c>
      <c r="B1328" s="13">
        <v>42244.365277777775</v>
      </c>
      <c r="C1328" s="14">
        <v>139.5</v>
      </c>
      <c r="D1328" s="15">
        <v>720</v>
      </c>
      <c r="E1328" s="15">
        <f t="shared" si="224"/>
        <v>100451</v>
      </c>
      <c r="F1328" s="13"/>
      <c r="G1328" s="14">
        <v>150.97</v>
      </c>
      <c r="H1328" s="15">
        <f t="shared" si="225"/>
        <v>108698.4</v>
      </c>
      <c r="I1328" s="16">
        <f t="shared" si="226"/>
        <v>8247.399999999994</v>
      </c>
      <c r="J1328" s="19">
        <f t="shared" si="227"/>
        <v>0.08210371225771763</v>
      </c>
      <c r="K1328" s="95" t="s">
        <v>387</v>
      </c>
      <c r="L1328" s="119"/>
      <c r="M1328" s="20">
        <f t="shared" si="228"/>
        <v>129.735</v>
      </c>
      <c r="N1328" s="117">
        <v>179.43</v>
      </c>
      <c r="O1328" s="121">
        <v>42313</v>
      </c>
      <c r="P1328" s="116" t="s">
        <v>388</v>
      </c>
      <c r="Q1328" s="117">
        <v>152.91</v>
      </c>
      <c r="R1328" s="118"/>
      <c r="S1328" s="117">
        <f>1.11*C1328</f>
        <v>154.84500000000003</v>
      </c>
      <c r="T1328" s="116"/>
    </row>
    <row r="1329" spans="1:20" s="114" customFormat="1" ht="15">
      <c r="A1329" s="12" t="s">
        <v>388</v>
      </c>
      <c r="B1329" s="13">
        <v>42255.47430555556</v>
      </c>
      <c r="C1329" s="14">
        <v>141.06</v>
      </c>
      <c r="D1329" s="15">
        <v>430</v>
      </c>
      <c r="E1329" s="15">
        <f t="shared" si="224"/>
        <v>60666.8</v>
      </c>
      <c r="F1329" s="13"/>
      <c r="G1329" s="14">
        <v>150.97</v>
      </c>
      <c r="H1329" s="15">
        <f t="shared" si="225"/>
        <v>64917.1</v>
      </c>
      <c r="I1329" s="16">
        <f t="shared" si="226"/>
        <v>4250.299999999996</v>
      </c>
      <c r="J1329" s="19">
        <f t="shared" si="227"/>
        <v>0.07005973613244798</v>
      </c>
      <c r="K1329" s="95" t="s">
        <v>394</v>
      </c>
      <c r="L1329" s="119"/>
      <c r="M1329" s="20">
        <f t="shared" si="228"/>
        <v>131.1858</v>
      </c>
      <c r="N1329" s="117">
        <v>179.43</v>
      </c>
      <c r="O1329" s="113"/>
      <c r="P1329" s="116" t="s">
        <v>388</v>
      </c>
      <c r="Q1329" s="117"/>
      <c r="R1329" s="118"/>
      <c r="S1329" s="117"/>
      <c r="T1329" s="116"/>
    </row>
    <row r="1330" spans="1:20" s="114" customFormat="1" ht="15">
      <c r="A1330" s="12" t="s">
        <v>388</v>
      </c>
      <c r="B1330" s="13">
        <v>42257.325</v>
      </c>
      <c r="C1330" s="14">
        <v>143.71</v>
      </c>
      <c r="D1330" s="15">
        <v>280</v>
      </c>
      <c r="E1330" s="15">
        <f t="shared" si="224"/>
        <v>40249.8</v>
      </c>
      <c r="F1330" s="13"/>
      <c r="G1330" s="14">
        <v>150.97</v>
      </c>
      <c r="H1330" s="15">
        <f t="shared" si="225"/>
        <v>42271.6</v>
      </c>
      <c r="I1330" s="16">
        <f t="shared" si="226"/>
        <v>2021.7999999999956</v>
      </c>
      <c r="J1330" s="19">
        <f t="shared" si="227"/>
        <v>0.05023130549717006</v>
      </c>
      <c r="K1330" s="95" t="s">
        <v>395</v>
      </c>
      <c r="L1330" s="119"/>
      <c r="M1330" s="20">
        <f t="shared" si="228"/>
        <v>133.65030000000002</v>
      </c>
      <c r="N1330" s="117">
        <v>179.43</v>
      </c>
      <c r="O1330" s="113"/>
      <c r="P1330" s="116" t="s">
        <v>388</v>
      </c>
      <c r="Q1330" s="117"/>
      <c r="R1330" s="118"/>
      <c r="S1330" s="117"/>
      <c r="T1330" s="116"/>
    </row>
    <row r="1331" spans="1:20" s="114" customFormat="1" ht="15">
      <c r="A1331" s="12" t="s">
        <v>406</v>
      </c>
      <c r="B1331" s="13">
        <v>42262.37986111111</v>
      </c>
      <c r="C1331" s="14">
        <v>71.51</v>
      </c>
      <c r="D1331" s="15">
        <v>1400</v>
      </c>
      <c r="E1331" s="15">
        <f t="shared" si="224"/>
        <v>100125</v>
      </c>
      <c r="F1331" s="13"/>
      <c r="G1331" s="14">
        <v>72.44</v>
      </c>
      <c r="H1331" s="15">
        <f t="shared" si="225"/>
        <v>101416</v>
      </c>
      <c r="I1331" s="16">
        <f t="shared" si="226"/>
        <v>1291</v>
      </c>
      <c r="J1331" s="19">
        <f t="shared" si="227"/>
        <v>0.012893882646691635</v>
      </c>
      <c r="K1331" s="95" t="s">
        <v>417</v>
      </c>
      <c r="L1331" s="119"/>
      <c r="M1331" s="20">
        <f t="shared" si="228"/>
        <v>66.50430000000001</v>
      </c>
      <c r="N1331" s="117">
        <v>93.15</v>
      </c>
      <c r="O1331" s="87"/>
      <c r="P1331" s="116" t="s">
        <v>406</v>
      </c>
      <c r="Q1331" s="117"/>
      <c r="R1331" s="118"/>
      <c r="S1331" s="117">
        <f>1.11*C1331</f>
        <v>79.37610000000001</v>
      </c>
      <c r="T1331" s="116"/>
    </row>
    <row r="1332" spans="1:20" s="114" customFormat="1" ht="15">
      <c r="A1332" s="85" t="s">
        <v>406</v>
      </c>
      <c r="B1332" s="13">
        <v>42272.38680555556</v>
      </c>
      <c r="C1332" s="14">
        <v>73.36</v>
      </c>
      <c r="D1332" s="15">
        <v>820</v>
      </c>
      <c r="E1332" s="15">
        <f t="shared" si="224"/>
        <v>60166.2</v>
      </c>
      <c r="F1332" s="13"/>
      <c r="G1332" s="14">
        <v>72.44</v>
      </c>
      <c r="H1332" s="15">
        <f t="shared" si="225"/>
        <v>59400.799999999996</v>
      </c>
      <c r="I1332" s="16">
        <f t="shared" si="226"/>
        <v>-765.4000000000015</v>
      </c>
      <c r="J1332" s="19">
        <f t="shared" si="227"/>
        <v>-0.012721428310247307</v>
      </c>
      <c r="K1332" s="95" t="s">
        <v>416</v>
      </c>
      <c r="L1332" s="119"/>
      <c r="M1332" s="20">
        <f t="shared" si="228"/>
        <v>68.2248</v>
      </c>
      <c r="N1332" s="117">
        <v>93.15</v>
      </c>
      <c r="O1332" s="87"/>
      <c r="P1332" s="116" t="s">
        <v>406</v>
      </c>
      <c r="Q1332" s="117"/>
      <c r="R1332" s="118"/>
      <c r="S1332" s="117"/>
      <c r="T1332" s="116"/>
    </row>
    <row r="1333" spans="1:20" s="114" customFormat="1" ht="15">
      <c r="A1333" s="85" t="s">
        <v>73</v>
      </c>
      <c r="B1333" s="13">
        <v>42272.27638888889</v>
      </c>
      <c r="C1333" s="14">
        <v>28.4</v>
      </c>
      <c r="D1333" s="15">
        <v>3600</v>
      </c>
      <c r="E1333" s="15">
        <f t="shared" si="224"/>
        <v>102251</v>
      </c>
      <c r="F1333" s="13"/>
      <c r="G1333" s="14">
        <v>27.94</v>
      </c>
      <c r="H1333" s="15">
        <f t="shared" si="225"/>
        <v>100584</v>
      </c>
      <c r="I1333" s="16">
        <f t="shared" si="226"/>
        <v>-1667</v>
      </c>
      <c r="J1333" s="19">
        <f t="shared" si="227"/>
        <v>-0.01630301904137857</v>
      </c>
      <c r="K1333" s="95" t="s">
        <v>420</v>
      </c>
      <c r="L1333" s="119"/>
      <c r="M1333" s="20">
        <f t="shared" si="228"/>
        <v>26.412</v>
      </c>
      <c r="N1333" s="117">
        <v>36.2</v>
      </c>
      <c r="O1333" s="87"/>
      <c r="P1333" s="116" t="s">
        <v>73</v>
      </c>
      <c r="Q1333" s="117"/>
      <c r="R1333" s="118"/>
      <c r="S1333" s="117">
        <f>1.11*C1333</f>
        <v>31.524</v>
      </c>
      <c r="T1333" s="116"/>
    </row>
    <row r="1334" spans="1:20" s="114" customFormat="1" ht="15">
      <c r="A1334" s="12"/>
      <c r="B1334" s="13"/>
      <c r="C1334" s="14"/>
      <c r="D1334" s="15"/>
      <c r="E1334" s="15"/>
      <c r="G1334" s="14"/>
      <c r="H1334" s="15"/>
      <c r="I1334" s="16"/>
      <c r="J1334" s="19"/>
      <c r="K1334" s="95"/>
      <c r="L1334" s="119"/>
      <c r="M1334" s="32"/>
      <c r="N1334" s="117"/>
      <c r="P1334" s="116"/>
      <c r="Q1334" s="117"/>
      <c r="R1334" s="117"/>
      <c r="S1334" s="117"/>
      <c r="T1334" s="116"/>
    </row>
    <row r="1335" spans="1:33" s="114" customFormat="1" ht="15">
      <c r="A1335" s="21" t="s">
        <v>14</v>
      </c>
      <c r="B1335" s="22"/>
      <c r="C1335" s="23"/>
      <c r="D1335" s="24"/>
      <c r="E1335" s="24">
        <f>SUM(E1325:E1334)</f>
        <v>668104.7999999999</v>
      </c>
      <c r="F1335" s="13"/>
      <c r="G1335" s="23"/>
      <c r="H1335" s="24">
        <f>SUM(H1325:H1334)</f>
        <v>712081.5</v>
      </c>
      <c r="I1335" s="25">
        <f>SUM(I1325:I1334)</f>
        <v>43976.69999999999</v>
      </c>
      <c r="J1335" s="26">
        <f>I1335/E1335</f>
        <v>0.06582305650251277</v>
      </c>
      <c r="K1335" s="27" t="s">
        <v>15</v>
      </c>
      <c r="L1335" s="28">
        <f>100000+I1337</f>
        <v>598141.31</v>
      </c>
      <c r="M1335" s="81"/>
      <c r="N1335" s="89"/>
      <c r="Q1335" s="117"/>
      <c r="R1335" s="117"/>
      <c r="S1335" s="117"/>
      <c r="T1335" s="116"/>
      <c r="X1335" s="114" t="s">
        <v>371</v>
      </c>
      <c r="Z1335" s="114" t="s">
        <v>17</v>
      </c>
      <c r="AC1335" s="114" t="s">
        <v>372</v>
      </c>
      <c r="AE1335" s="114" t="s">
        <v>373</v>
      </c>
      <c r="AG1335" s="114" t="s">
        <v>374</v>
      </c>
    </row>
    <row r="1336" spans="1:33" s="114" customFormat="1" ht="15">
      <c r="A1336" s="12" t="s">
        <v>67</v>
      </c>
      <c r="B1336" s="22"/>
      <c r="C1336" s="25">
        <f>I1337-I1320</f>
        <v>-20435.600000000035</v>
      </c>
      <c r="D1336" s="26">
        <f>C1336/H1318</f>
        <v>-0.02696811653262629</v>
      </c>
      <c r="E1336" s="24"/>
      <c r="F1336" s="22" t="s">
        <v>16</v>
      </c>
      <c r="G1336" s="117"/>
      <c r="H1336" s="29" t="str">
        <f>IF(ABS(H1335-E1335-I1335)&lt;1,"","ERROR")</f>
        <v/>
      </c>
      <c r="I1336" s="16">
        <v>454164.61</v>
      </c>
      <c r="J1336" s="26"/>
      <c r="K1336" s="111" t="s">
        <v>17</v>
      </c>
      <c r="L1336" s="28">
        <f>(2*(100000+I1337))-E1335</f>
        <v>528177.8200000002</v>
      </c>
      <c r="M1336" s="31"/>
      <c r="Q1336" s="117"/>
      <c r="R1336" s="117"/>
      <c r="S1336" s="117"/>
      <c r="T1336" s="116"/>
      <c r="X1336" s="29" t="e">
        <f>E1335-#REF!-#REF!-#REF!</f>
        <v>#REF!</v>
      </c>
      <c r="Z1336" s="29">
        <f>E1335+L1336</f>
        <v>1196282.62</v>
      </c>
      <c r="AC1336" s="29" t="e">
        <f>#REF!+#REF!+#REF!</f>
        <v>#REF!</v>
      </c>
      <c r="AE1336" s="29" t="e">
        <f>X1336-AC1336</f>
        <v>#REF!</v>
      </c>
      <c r="AG1336" s="155" t="e">
        <f>AE1336/Z1336</f>
        <v>#REF!</v>
      </c>
    </row>
    <row r="1337" spans="1:20" s="114" customFormat="1" ht="15">
      <c r="A1337" s="12" t="s">
        <v>54</v>
      </c>
      <c r="B1337" s="22"/>
      <c r="C1337" s="25">
        <f>L1335-L1318</f>
        <v>-20435.599999999977</v>
      </c>
      <c r="D1337" s="26">
        <f>C1337/L1318</f>
        <v>-0.033036473993185385</v>
      </c>
      <c r="E1337" s="24"/>
      <c r="F1337" s="22" t="s">
        <v>18</v>
      </c>
      <c r="G1337" s="117"/>
      <c r="H1337" s="29"/>
      <c r="I1337" s="30">
        <f>I1335+I1336</f>
        <v>498141.31</v>
      </c>
      <c r="J1337" s="26">
        <f>I1337/100000</f>
        <v>4.9814131</v>
      </c>
      <c r="K1337" s="111" t="s">
        <v>19</v>
      </c>
      <c r="L1337" s="26">
        <f>E1335/(2*(100000+I1337))</f>
        <v>0.5584840812951039</v>
      </c>
      <c r="M1337" s="31"/>
      <c r="Q1337" s="117"/>
      <c r="R1337" s="117"/>
      <c r="S1337" s="117"/>
      <c r="T1337" s="116"/>
    </row>
    <row r="1338" spans="1:20" s="114" customFormat="1" ht="15">
      <c r="A1338" s="114">
        <v>4</v>
      </c>
      <c r="B1338" s="22"/>
      <c r="C1338" s="25"/>
      <c r="D1338" s="26"/>
      <c r="E1338" s="24"/>
      <c r="G1338" s="117"/>
      <c r="H1338" s="29"/>
      <c r="I1338" s="30"/>
      <c r="J1338" s="26"/>
      <c r="K1338" s="111"/>
      <c r="L1338" s="26"/>
      <c r="M1338" s="31"/>
      <c r="Q1338" s="117"/>
      <c r="R1338" s="117"/>
      <c r="S1338" s="117"/>
      <c r="T1338" s="116"/>
    </row>
    <row r="1339" spans="2:20" s="114" customFormat="1" ht="15">
      <c r="B1339" s="22"/>
      <c r="C1339" s="25"/>
      <c r="D1339" s="26"/>
      <c r="E1339" s="24"/>
      <c r="F1339" s="22"/>
      <c r="G1339" s="117"/>
      <c r="H1339" s="29"/>
      <c r="I1339" s="30"/>
      <c r="J1339" s="26"/>
      <c r="K1339" s="111"/>
      <c r="L1339" s="26"/>
      <c r="M1339" s="31"/>
      <c r="Q1339" s="117"/>
      <c r="R1339" s="117"/>
      <c r="S1339" s="117"/>
      <c r="T1339" s="116"/>
    </row>
    <row r="1340" spans="1:20" s="114" customFormat="1" ht="30.75" customHeight="1">
      <c r="A1340" s="138" t="s">
        <v>37</v>
      </c>
      <c r="B1340" s="384" t="s">
        <v>423</v>
      </c>
      <c r="C1340" s="384"/>
      <c r="D1340" s="384"/>
      <c r="E1340" s="384"/>
      <c r="F1340" s="384"/>
      <c r="G1340" s="384"/>
      <c r="H1340" s="384"/>
      <c r="I1340" s="384"/>
      <c r="J1340" s="384"/>
      <c r="K1340" s="384"/>
      <c r="L1340" s="384"/>
      <c r="M1340" s="384"/>
      <c r="N1340" s="384"/>
      <c r="O1340" s="92"/>
      <c r="P1340" s="92"/>
      <c r="Q1340" s="104"/>
      <c r="R1340" s="104"/>
      <c r="S1340" s="107"/>
      <c r="T1340" s="109"/>
    </row>
    <row r="1341" spans="1:22" s="114" customFormat="1" ht="15">
      <c r="A1341" s="2" t="s">
        <v>0</v>
      </c>
      <c r="B1341" s="3" t="s">
        <v>1</v>
      </c>
      <c r="C1341" s="4" t="s">
        <v>2</v>
      </c>
      <c r="D1341" s="5" t="s">
        <v>3</v>
      </c>
      <c r="E1341" s="6" t="s">
        <v>4</v>
      </c>
      <c r="F1341" s="3" t="s">
        <v>5</v>
      </c>
      <c r="G1341" s="7" t="s">
        <v>2</v>
      </c>
      <c r="H1341" s="6" t="s">
        <v>6</v>
      </c>
      <c r="I1341" s="6" t="s">
        <v>7</v>
      </c>
      <c r="J1341" s="8" t="s">
        <v>8</v>
      </c>
      <c r="K1341" s="9" t="s">
        <v>9</v>
      </c>
      <c r="L1341" s="10" t="s">
        <v>10</v>
      </c>
      <c r="M1341" s="11" t="s">
        <v>11</v>
      </c>
      <c r="N1341" s="103" t="s">
        <v>53</v>
      </c>
      <c r="O1341" s="105" t="s">
        <v>110</v>
      </c>
      <c r="P1341" s="106" t="s">
        <v>0</v>
      </c>
      <c r="Q1341" s="117" t="s">
        <v>13</v>
      </c>
      <c r="R1341" s="117" t="s">
        <v>70</v>
      </c>
      <c r="S1341" s="111" t="s">
        <v>103</v>
      </c>
      <c r="T1341" s="116" t="s">
        <v>107</v>
      </c>
      <c r="V1341" s="9"/>
    </row>
    <row r="1342" spans="1:20" s="114" customFormat="1" ht="15">
      <c r="A1342" s="12" t="s">
        <v>383</v>
      </c>
      <c r="B1342" s="13">
        <v>42242.48333333333</v>
      </c>
      <c r="C1342" s="14">
        <v>64.98</v>
      </c>
      <c r="D1342" s="15">
        <v>1600</v>
      </c>
      <c r="E1342" s="15">
        <f aca="true" t="shared" si="229" ref="E1342:E1357">C1342*D1342+11</f>
        <v>103979</v>
      </c>
      <c r="F1342" s="13"/>
      <c r="G1342" s="14">
        <v>71.24</v>
      </c>
      <c r="H1342" s="15">
        <f aca="true" t="shared" si="230" ref="H1342:H1357">G1342*D1342</f>
        <v>113983.99999999999</v>
      </c>
      <c r="I1342" s="16">
        <f aca="true" t="shared" si="231" ref="I1342:I1357">H1342-E1342</f>
        <v>10004.999999999985</v>
      </c>
      <c r="J1342" s="19">
        <f aca="true" t="shared" si="232" ref="J1342:J1357">I1342/E1342</f>
        <v>0.09622135238846291</v>
      </c>
      <c r="K1342" s="95" t="s">
        <v>384</v>
      </c>
      <c r="L1342" s="119">
        <v>69.13</v>
      </c>
      <c r="M1342" s="41">
        <f aca="true" t="shared" si="233" ref="M1342:M1357">C1342*0.93</f>
        <v>60.431400000000004</v>
      </c>
      <c r="N1342" s="117">
        <v>88.5</v>
      </c>
      <c r="O1342" s="121">
        <v>42300</v>
      </c>
      <c r="P1342" s="116" t="s">
        <v>383</v>
      </c>
      <c r="Q1342" s="117">
        <v>80.85</v>
      </c>
      <c r="R1342" s="118">
        <f>Q1342*0.855</f>
        <v>69.12674999999999</v>
      </c>
      <c r="S1342" s="117">
        <f>1.11*C1342</f>
        <v>72.12780000000001</v>
      </c>
      <c r="T1342" s="116"/>
    </row>
    <row r="1343" spans="1:20" s="114" customFormat="1" ht="15">
      <c r="A1343" s="12" t="s">
        <v>383</v>
      </c>
      <c r="B1343" s="13">
        <v>42242.53611111111</v>
      </c>
      <c r="C1343" s="14">
        <v>67.31</v>
      </c>
      <c r="D1343" s="15">
        <v>900</v>
      </c>
      <c r="E1343" s="15">
        <f t="shared" si="229"/>
        <v>60590</v>
      </c>
      <c r="F1343" s="13"/>
      <c r="G1343" s="14">
        <v>71.24</v>
      </c>
      <c r="H1343" s="15">
        <f t="shared" si="230"/>
        <v>64115.99999999999</v>
      </c>
      <c r="I1343" s="16">
        <f t="shared" si="231"/>
        <v>3525.9999999999927</v>
      </c>
      <c r="J1343" s="19">
        <f t="shared" si="232"/>
        <v>0.05819442152170313</v>
      </c>
      <c r="K1343" s="95" t="s">
        <v>386</v>
      </c>
      <c r="L1343" s="119">
        <v>69.13</v>
      </c>
      <c r="M1343" s="41">
        <f t="shared" si="233"/>
        <v>62.59830000000001</v>
      </c>
      <c r="N1343" s="117">
        <v>89.5</v>
      </c>
      <c r="P1343" s="116" t="s">
        <v>383</v>
      </c>
      <c r="Q1343" s="117"/>
      <c r="R1343" s="117"/>
      <c r="S1343" s="117"/>
      <c r="T1343" s="116"/>
    </row>
    <row r="1344" spans="1:20" s="114" customFormat="1" ht="15">
      <c r="A1344" s="12" t="s">
        <v>383</v>
      </c>
      <c r="B1344" s="13">
        <v>42243.32013888889</v>
      </c>
      <c r="C1344" s="14">
        <v>69.5</v>
      </c>
      <c r="D1344" s="15">
        <v>570</v>
      </c>
      <c r="E1344" s="15">
        <f t="shared" si="229"/>
        <v>39626</v>
      </c>
      <c r="F1344" s="13"/>
      <c r="G1344" s="14">
        <v>71.24</v>
      </c>
      <c r="H1344" s="15">
        <f t="shared" si="230"/>
        <v>40606.799999999996</v>
      </c>
      <c r="I1344" s="16">
        <f t="shared" si="231"/>
        <v>980.7999999999956</v>
      </c>
      <c r="J1344" s="19">
        <f t="shared" si="232"/>
        <v>0.024751425831524645</v>
      </c>
      <c r="K1344" s="95" t="s">
        <v>385</v>
      </c>
      <c r="L1344" s="119">
        <v>69.13</v>
      </c>
      <c r="M1344" s="41">
        <f t="shared" si="233"/>
        <v>64.635</v>
      </c>
      <c r="N1344" s="117">
        <v>89.5</v>
      </c>
      <c r="P1344" s="116" t="s">
        <v>383</v>
      </c>
      <c r="Q1344" s="117"/>
      <c r="R1344" s="117"/>
      <c r="S1344" s="117"/>
      <c r="T1344" s="116"/>
    </row>
    <row r="1345" spans="1:20" s="114" customFormat="1" ht="15">
      <c r="A1345" s="12" t="s">
        <v>388</v>
      </c>
      <c r="B1345" s="13">
        <v>42244.365277777775</v>
      </c>
      <c r="C1345" s="14">
        <v>139.5</v>
      </c>
      <c r="D1345" s="15">
        <v>720</v>
      </c>
      <c r="E1345" s="15">
        <f t="shared" si="229"/>
        <v>100451</v>
      </c>
      <c r="F1345" s="13"/>
      <c r="G1345" s="14">
        <v>168.01</v>
      </c>
      <c r="H1345" s="15">
        <f t="shared" si="230"/>
        <v>120967.2</v>
      </c>
      <c r="I1345" s="16">
        <f t="shared" si="231"/>
        <v>20516.199999999997</v>
      </c>
      <c r="J1345" s="19">
        <f t="shared" si="232"/>
        <v>0.2042408736597943</v>
      </c>
      <c r="K1345" s="95" t="s">
        <v>387</v>
      </c>
      <c r="L1345" s="119">
        <v>145.44</v>
      </c>
      <c r="M1345" s="41">
        <f t="shared" si="233"/>
        <v>129.735</v>
      </c>
      <c r="N1345" s="117">
        <v>179.43</v>
      </c>
      <c r="O1345" s="121">
        <v>42313</v>
      </c>
      <c r="P1345" s="116" t="s">
        <v>388</v>
      </c>
      <c r="Q1345" s="117">
        <v>170.11</v>
      </c>
      <c r="R1345" s="118">
        <f>Q1345*0.855</f>
        <v>145.44405</v>
      </c>
      <c r="S1345" s="117">
        <f>1.11*C1345</f>
        <v>154.84500000000003</v>
      </c>
      <c r="T1345" s="116"/>
    </row>
    <row r="1346" spans="1:20" s="114" customFormat="1" ht="15">
      <c r="A1346" s="12" t="s">
        <v>388</v>
      </c>
      <c r="B1346" s="13">
        <v>42255.47430555556</v>
      </c>
      <c r="C1346" s="14">
        <v>141.06</v>
      </c>
      <c r="D1346" s="15">
        <v>430</v>
      </c>
      <c r="E1346" s="15">
        <f t="shared" si="229"/>
        <v>60666.8</v>
      </c>
      <c r="F1346" s="13"/>
      <c r="G1346" s="14">
        <v>168.01</v>
      </c>
      <c r="H1346" s="15">
        <f t="shared" si="230"/>
        <v>72244.3</v>
      </c>
      <c r="I1346" s="16">
        <f t="shared" si="231"/>
        <v>11577.5</v>
      </c>
      <c r="J1346" s="19">
        <f t="shared" si="232"/>
        <v>0.19083749266485128</v>
      </c>
      <c r="K1346" s="95" t="s">
        <v>394</v>
      </c>
      <c r="L1346" s="119">
        <v>145.44</v>
      </c>
      <c r="M1346" s="41">
        <f t="shared" si="233"/>
        <v>131.1858</v>
      </c>
      <c r="N1346" s="117">
        <v>179.43</v>
      </c>
      <c r="O1346" s="113"/>
      <c r="P1346" s="116" t="s">
        <v>388</v>
      </c>
      <c r="Q1346" s="117"/>
      <c r="R1346" s="118"/>
      <c r="S1346" s="117"/>
      <c r="T1346" s="116"/>
    </row>
    <row r="1347" spans="1:20" s="114" customFormat="1" ht="15">
      <c r="A1347" s="12" t="s">
        <v>388</v>
      </c>
      <c r="B1347" s="13">
        <v>42257.325</v>
      </c>
      <c r="C1347" s="14">
        <v>143.71</v>
      </c>
      <c r="D1347" s="15">
        <v>280</v>
      </c>
      <c r="E1347" s="15">
        <f t="shared" si="229"/>
        <v>40249.8</v>
      </c>
      <c r="F1347" s="13"/>
      <c r="G1347" s="14">
        <v>168.01</v>
      </c>
      <c r="H1347" s="15">
        <f t="shared" si="230"/>
        <v>47042.799999999996</v>
      </c>
      <c r="I1347" s="16">
        <f t="shared" si="231"/>
        <v>6792.999999999993</v>
      </c>
      <c r="J1347" s="19">
        <f t="shared" si="232"/>
        <v>0.1687710249491921</v>
      </c>
      <c r="K1347" s="95" t="s">
        <v>395</v>
      </c>
      <c r="L1347" s="119">
        <v>145.44</v>
      </c>
      <c r="M1347" s="41">
        <f t="shared" si="233"/>
        <v>133.65030000000002</v>
      </c>
      <c r="N1347" s="117">
        <v>179.43</v>
      </c>
      <c r="O1347" s="113"/>
      <c r="P1347" s="116" t="s">
        <v>388</v>
      </c>
      <c r="Q1347" s="117"/>
      <c r="R1347" s="118"/>
      <c r="S1347" s="117"/>
      <c r="T1347" s="116"/>
    </row>
    <row r="1348" spans="1:20" s="114" customFormat="1" ht="15">
      <c r="A1348" s="85" t="s">
        <v>388</v>
      </c>
      <c r="B1348" s="13">
        <v>42278.46111111111</v>
      </c>
      <c r="C1348" s="14">
        <v>161.21</v>
      </c>
      <c r="D1348" s="15">
        <v>290</v>
      </c>
      <c r="E1348" s="15">
        <f t="shared" si="229"/>
        <v>46761.9</v>
      </c>
      <c r="F1348" s="13"/>
      <c r="G1348" s="14">
        <v>168.01</v>
      </c>
      <c r="H1348" s="15">
        <f t="shared" si="230"/>
        <v>48722.899999999994</v>
      </c>
      <c r="I1348" s="16">
        <f t="shared" si="231"/>
        <v>1960.9999999999927</v>
      </c>
      <c r="J1348" s="19">
        <f t="shared" si="232"/>
        <v>0.041935849484302234</v>
      </c>
      <c r="K1348" s="95" t="s">
        <v>435</v>
      </c>
      <c r="L1348" s="119"/>
      <c r="M1348" s="20">
        <f t="shared" si="233"/>
        <v>149.92530000000002</v>
      </c>
      <c r="N1348" s="117">
        <v>179.43</v>
      </c>
      <c r="O1348" s="113"/>
      <c r="P1348" s="116" t="s">
        <v>388</v>
      </c>
      <c r="Q1348" s="117"/>
      <c r="R1348" s="118"/>
      <c r="S1348" s="117"/>
      <c r="T1348" s="116"/>
    </row>
    <row r="1349" spans="1:20" s="114" customFormat="1" ht="15">
      <c r="A1349" s="12" t="s">
        <v>406</v>
      </c>
      <c r="B1349" s="13">
        <v>42262.37986111111</v>
      </c>
      <c r="C1349" s="14">
        <v>71.51</v>
      </c>
      <c r="D1349" s="15">
        <v>1400</v>
      </c>
      <c r="E1349" s="15">
        <f t="shared" si="229"/>
        <v>100125</v>
      </c>
      <c r="F1349" s="13"/>
      <c r="G1349" s="14">
        <v>73.93</v>
      </c>
      <c r="H1349" s="15">
        <f t="shared" si="230"/>
        <v>103502.00000000001</v>
      </c>
      <c r="I1349" s="16">
        <f t="shared" si="231"/>
        <v>3377.0000000000146</v>
      </c>
      <c r="J1349" s="19">
        <f t="shared" si="232"/>
        <v>0.033727840199750454</v>
      </c>
      <c r="K1349" s="95" t="s">
        <v>417</v>
      </c>
      <c r="L1349" s="119"/>
      <c r="M1349" s="20">
        <f t="shared" si="233"/>
        <v>66.50430000000001</v>
      </c>
      <c r="N1349" s="117">
        <v>93.15</v>
      </c>
      <c r="O1349" s="87"/>
      <c r="P1349" s="116" t="s">
        <v>406</v>
      </c>
      <c r="Q1349" s="117"/>
      <c r="R1349" s="118"/>
      <c r="S1349" s="117">
        <f>1.11*C1349</f>
        <v>79.37610000000001</v>
      </c>
      <c r="T1349" s="116"/>
    </row>
    <row r="1350" spans="1:20" s="114" customFormat="1" ht="15">
      <c r="A1350" s="12" t="s">
        <v>406</v>
      </c>
      <c r="B1350" s="13">
        <v>42272.38680555556</v>
      </c>
      <c r="C1350" s="14">
        <v>73.36</v>
      </c>
      <c r="D1350" s="15">
        <v>820</v>
      </c>
      <c r="E1350" s="15">
        <f t="shared" si="229"/>
        <v>60166.2</v>
      </c>
      <c r="F1350" s="13"/>
      <c r="G1350" s="14">
        <v>73.93</v>
      </c>
      <c r="H1350" s="15">
        <f t="shared" si="230"/>
        <v>60622.600000000006</v>
      </c>
      <c r="I1350" s="16">
        <f t="shared" si="231"/>
        <v>456.40000000000873</v>
      </c>
      <c r="J1350" s="19">
        <f t="shared" si="232"/>
        <v>0.007585654403967822</v>
      </c>
      <c r="K1350" s="95" t="s">
        <v>426</v>
      </c>
      <c r="L1350" s="119"/>
      <c r="M1350" s="20">
        <f t="shared" si="233"/>
        <v>68.2248</v>
      </c>
      <c r="N1350" s="117">
        <v>93.15</v>
      </c>
      <c r="O1350" s="87"/>
      <c r="P1350" s="116" t="s">
        <v>406</v>
      </c>
      <c r="Q1350" s="117"/>
      <c r="R1350" s="118"/>
      <c r="S1350" s="117"/>
      <c r="T1350" s="116"/>
    </row>
    <row r="1351" spans="1:20" s="114" customFormat="1" ht="15">
      <c r="A1351" s="85" t="s">
        <v>406</v>
      </c>
      <c r="B1351" s="13">
        <v>42279.53611111111</v>
      </c>
      <c r="C1351" s="14">
        <v>73.86</v>
      </c>
      <c r="D1351" s="15">
        <v>550</v>
      </c>
      <c r="E1351" s="15">
        <f t="shared" si="229"/>
        <v>40634</v>
      </c>
      <c r="F1351" s="13"/>
      <c r="G1351" s="14">
        <v>73.93</v>
      </c>
      <c r="H1351" s="15">
        <f t="shared" si="230"/>
        <v>40661.50000000001</v>
      </c>
      <c r="I1351" s="16">
        <f t="shared" si="231"/>
        <v>27.500000000007276</v>
      </c>
      <c r="J1351" s="19">
        <f t="shared" si="232"/>
        <v>0.00067677314564176</v>
      </c>
      <c r="K1351" s="95" t="s">
        <v>425</v>
      </c>
      <c r="L1351" s="119"/>
      <c r="M1351" s="20">
        <f t="shared" si="233"/>
        <v>68.6898</v>
      </c>
      <c r="N1351" s="117">
        <v>93.15</v>
      </c>
      <c r="O1351" s="87"/>
      <c r="P1351" s="116" t="s">
        <v>406</v>
      </c>
      <c r="Q1351" s="117"/>
      <c r="R1351" s="118"/>
      <c r="S1351" s="117"/>
      <c r="T1351" s="116"/>
    </row>
    <row r="1352" spans="1:20" s="114" customFormat="1" ht="15">
      <c r="A1352" s="85" t="s">
        <v>73</v>
      </c>
      <c r="B1352" s="13">
        <v>42277.27777777778</v>
      </c>
      <c r="C1352" s="14">
        <v>28.8</v>
      </c>
      <c r="D1352" s="15">
        <v>3500</v>
      </c>
      <c r="E1352" s="15">
        <f t="shared" si="229"/>
        <v>100811</v>
      </c>
      <c r="F1352" s="13"/>
      <c r="G1352" s="14">
        <v>29.52</v>
      </c>
      <c r="H1352" s="15">
        <f t="shared" si="230"/>
        <v>103320</v>
      </c>
      <c r="I1352" s="16">
        <f t="shared" si="231"/>
        <v>2509</v>
      </c>
      <c r="J1352" s="19">
        <f t="shared" si="232"/>
        <v>0.024888157046354067</v>
      </c>
      <c r="K1352" s="95" t="s">
        <v>427</v>
      </c>
      <c r="L1352" s="119"/>
      <c r="M1352" s="20">
        <f t="shared" si="233"/>
        <v>26.784000000000002</v>
      </c>
      <c r="N1352" s="117">
        <v>36.2</v>
      </c>
      <c r="O1352" s="87"/>
      <c r="P1352" s="116" t="s">
        <v>73</v>
      </c>
      <c r="Q1352" s="117"/>
      <c r="R1352" s="118"/>
      <c r="S1352" s="117">
        <f>1.11*C1352</f>
        <v>31.968000000000004</v>
      </c>
      <c r="T1352" s="116"/>
    </row>
    <row r="1353" spans="1:20" s="114" customFormat="1" ht="15">
      <c r="A1353" s="85" t="s">
        <v>73</v>
      </c>
      <c r="B1353" s="13">
        <v>42277.30972222222</v>
      </c>
      <c r="C1353" s="14">
        <v>29.12</v>
      </c>
      <c r="D1353" s="15">
        <v>2100</v>
      </c>
      <c r="E1353" s="15">
        <f t="shared" si="229"/>
        <v>61163</v>
      </c>
      <c r="F1353" s="13"/>
      <c r="G1353" s="14">
        <v>29.52</v>
      </c>
      <c r="H1353" s="15">
        <f t="shared" si="230"/>
        <v>61992</v>
      </c>
      <c r="I1353" s="16">
        <f t="shared" si="231"/>
        <v>829</v>
      </c>
      <c r="J1353" s="19">
        <f t="shared" si="232"/>
        <v>0.013553946013112503</v>
      </c>
      <c r="K1353" s="95" t="s">
        <v>428</v>
      </c>
      <c r="L1353" s="119"/>
      <c r="M1353" s="20">
        <f t="shared" si="233"/>
        <v>27.0816</v>
      </c>
      <c r="N1353" s="117">
        <v>36.2</v>
      </c>
      <c r="O1353" s="87"/>
      <c r="P1353" s="116" t="s">
        <v>73</v>
      </c>
      <c r="Q1353" s="117"/>
      <c r="R1353" s="118"/>
      <c r="S1353" s="117"/>
      <c r="T1353" s="116"/>
    </row>
    <row r="1354" spans="1:20" s="114" customFormat="1" ht="15">
      <c r="A1354" s="85" t="s">
        <v>73</v>
      </c>
      <c r="B1354" s="13">
        <v>42277.34652777778</v>
      </c>
      <c r="C1354" s="14">
        <v>29.74</v>
      </c>
      <c r="D1354" s="15">
        <v>1350</v>
      </c>
      <c r="E1354" s="15">
        <f t="shared" si="229"/>
        <v>40160</v>
      </c>
      <c r="F1354" s="13"/>
      <c r="G1354" s="14">
        <v>29.52</v>
      </c>
      <c r="H1354" s="15">
        <f t="shared" si="230"/>
        <v>39852</v>
      </c>
      <c r="I1354" s="16">
        <f t="shared" si="231"/>
        <v>-308</v>
      </c>
      <c r="J1354" s="19">
        <f t="shared" si="232"/>
        <v>-0.007669322709163346</v>
      </c>
      <c r="K1354" s="95" t="s">
        <v>429</v>
      </c>
      <c r="L1354" s="119"/>
      <c r="M1354" s="20">
        <f t="shared" si="233"/>
        <v>27.6582</v>
      </c>
      <c r="N1354" s="117">
        <v>36.2</v>
      </c>
      <c r="O1354" s="87"/>
      <c r="P1354" s="116" t="s">
        <v>73</v>
      </c>
      <c r="Q1354" s="117"/>
      <c r="R1354" s="118"/>
      <c r="S1354" s="117"/>
      <c r="T1354" s="116"/>
    </row>
    <row r="1355" spans="1:20" s="114" customFormat="1" ht="15">
      <c r="A1355" s="85" t="s">
        <v>63</v>
      </c>
      <c r="B1355" s="13">
        <v>42279.495833333334</v>
      </c>
      <c r="C1355" s="14">
        <v>24.24</v>
      </c>
      <c r="D1355" s="15">
        <v>4150</v>
      </c>
      <c r="E1355" s="15">
        <f t="shared" si="229"/>
        <v>100607</v>
      </c>
      <c r="F1355" s="13"/>
      <c r="G1355" s="14">
        <v>24.54</v>
      </c>
      <c r="H1355" s="15">
        <f t="shared" si="230"/>
        <v>101841</v>
      </c>
      <c r="I1355" s="16">
        <f t="shared" si="231"/>
        <v>1234</v>
      </c>
      <c r="J1355" s="19">
        <f t="shared" si="232"/>
        <v>0.012265548122894033</v>
      </c>
      <c r="K1355" s="95" t="s">
        <v>432</v>
      </c>
      <c r="L1355" s="119"/>
      <c r="M1355" s="20">
        <f t="shared" si="233"/>
        <v>22.5432</v>
      </c>
      <c r="N1355" s="117">
        <v>31.93</v>
      </c>
      <c r="O1355" s="87"/>
      <c r="P1355" s="116" t="s">
        <v>63</v>
      </c>
      <c r="Q1355" s="117"/>
      <c r="R1355" s="118"/>
      <c r="S1355" s="117">
        <f>1.11*C1355</f>
        <v>26.9064</v>
      </c>
      <c r="T1355" s="116"/>
    </row>
    <row r="1356" spans="1:20" s="114" customFormat="1" ht="15">
      <c r="A1356" s="85" t="s">
        <v>418</v>
      </c>
      <c r="B1356" s="13">
        <v>42279.50763888889</v>
      </c>
      <c r="C1356" s="14">
        <v>20.86</v>
      </c>
      <c r="D1356" s="15">
        <v>4800</v>
      </c>
      <c r="E1356" s="15">
        <f t="shared" si="229"/>
        <v>100139</v>
      </c>
      <c r="F1356" s="13"/>
      <c r="G1356" s="14">
        <v>21.18</v>
      </c>
      <c r="H1356" s="15">
        <f t="shared" si="230"/>
        <v>101664</v>
      </c>
      <c r="I1356" s="16">
        <f t="shared" si="231"/>
        <v>1525</v>
      </c>
      <c r="J1356" s="19">
        <f t="shared" si="232"/>
        <v>0.01522883192362616</v>
      </c>
      <c r="K1356" s="95" t="s">
        <v>431</v>
      </c>
      <c r="L1356" s="119"/>
      <c r="M1356" s="20">
        <f t="shared" si="233"/>
        <v>19.3998</v>
      </c>
      <c r="N1356" s="117">
        <v>25.86</v>
      </c>
      <c r="O1356" s="87"/>
      <c r="P1356" s="116" t="s">
        <v>418</v>
      </c>
      <c r="Q1356" s="117"/>
      <c r="R1356" s="118"/>
      <c r="S1356" s="117">
        <f>1.11*C1356</f>
        <v>23.154600000000002</v>
      </c>
      <c r="T1356" s="116"/>
    </row>
    <row r="1357" spans="1:20" s="114" customFormat="1" ht="15">
      <c r="A1357" s="85" t="s">
        <v>433</v>
      </c>
      <c r="B1357" s="13">
        <v>42279.53611111111</v>
      </c>
      <c r="C1357" s="14">
        <v>182.34</v>
      </c>
      <c r="D1357" s="15">
        <v>550</v>
      </c>
      <c r="E1357" s="15">
        <f t="shared" si="229"/>
        <v>100298</v>
      </c>
      <c r="F1357" s="13"/>
      <c r="G1357" s="14">
        <v>182.56</v>
      </c>
      <c r="H1357" s="15">
        <f t="shared" si="230"/>
        <v>100408</v>
      </c>
      <c r="I1357" s="16">
        <f t="shared" si="231"/>
        <v>110</v>
      </c>
      <c r="J1357" s="19">
        <f t="shared" si="232"/>
        <v>0.0010967317394165387</v>
      </c>
      <c r="K1357" s="95" t="s">
        <v>434</v>
      </c>
      <c r="L1357" s="119"/>
      <c r="M1357" s="20">
        <f t="shared" si="233"/>
        <v>169.5762</v>
      </c>
      <c r="N1357" s="117">
        <v>232.76</v>
      </c>
      <c r="O1357" s="87"/>
      <c r="P1357" s="116" t="s">
        <v>433</v>
      </c>
      <c r="Q1357" s="117"/>
      <c r="R1357" s="118"/>
      <c r="S1357" s="117"/>
      <c r="T1357" s="116"/>
    </row>
    <row r="1358" spans="1:20" s="114" customFormat="1" ht="15">
      <c r="A1358" s="12"/>
      <c r="B1358" s="13"/>
      <c r="C1358" s="14"/>
      <c r="D1358" s="15"/>
      <c r="E1358" s="15"/>
      <c r="G1358" s="14"/>
      <c r="H1358" s="15"/>
      <c r="I1358" s="16"/>
      <c r="J1358" s="19"/>
      <c r="K1358" s="95"/>
      <c r="L1358" s="119"/>
      <c r="M1358" s="32"/>
      <c r="N1358" s="117"/>
      <c r="P1358" s="116"/>
      <c r="Q1358" s="117"/>
      <c r="R1358" s="117"/>
      <c r="S1358" s="117"/>
      <c r="T1358" s="116"/>
    </row>
    <row r="1359" spans="1:33" s="114" customFormat="1" ht="15">
      <c r="A1359" s="21" t="s">
        <v>14</v>
      </c>
      <c r="B1359" s="22"/>
      <c r="C1359" s="23"/>
      <c r="D1359" s="24"/>
      <c r="E1359" s="24">
        <f>SUM(E1342:E1358)</f>
        <v>1156427.7</v>
      </c>
      <c r="F1359" s="13"/>
      <c r="G1359" s="23"/>
      <c r="H1359" s="24">
        <f>SUM(H1342:H1358)</f>
        <v>1221547.0999999999</v>
      </c>
      <c r="I1359" s="25">
        <f>SUM(I1342:I1358)</f>
        <v>65119.39999999999</v>
      </c>
      <c r="J1359" s="26">
        <f>I1359/E1359</f>
        <v>0.05631082686794859</v>
      </c>
      <c r="K1359" s="27" t="s">
        <v>15</v>
      </c>
      <c r="L1359" s="28">
        <f>100000+I1361</f>
        <v>615493.01</v>
      </c>
      <c r="M1359" s="81"/>
      <c r="N1359" s="89"/>
      <c r="Q1359" s="117"/>
      <c r="R1359" s="117"/>
      <c r="S1359" s="117"/>
      <c r="T1359" s="116"/>
      <c r="X1359" s="114" t="s">
        <v>371</v>
      </c>
      <c r="Z1359" s="114" t="s">
        <v>17</v>
      </c>
      <c r="AC1359" s="114" t="s">
        <v>372</v>
      </c>
      <c r="AE1359" s="114" t="s">
        <v>373</v>
      </c>
      <c r="AG1359" s="114" t="s">
        <v>374</v>
      </c>
    </row>
    <row r="1360" spans="1:33" s="114" customFormat="1" ht="15">
      <c r="A1360" s="12" t="s">
        <v>67</v>
      </c>
      <c r="B1360" s="22"/>
      <c r="C1360" s="25">
        <f>I1361-I1337</f>
        <v>17351.699999999953</v>
      </c>
      <c r="D1360" s="26">
        <f>C1360/H1335</f>
        <v>0.02436757590247739</v>
      </c>
      <c r="E1360" s="24"/>
      <c r="F1360" s="22" t="s">
        <v>16</v>
      </c>
      <c r="G1360" s="117"/>
      <c r="H1360" s="29" t="str">
        <f>IF(ABS(H1359-E1359-I1359)&lt;1,"","ERROR")</f>
        <v/>
      </c>
      <c r="I1360" s="16">
        <v>450373.61</v>
      </c>
      <c r="J1360" s="26"/>
      <c r="K1360" s="111" t="s">
        <v>17</v>
      </c>
      <c r="L1360" s="28">
        <f>(2*(100000+I1361))-E1359</f>
        <v>74558.32000000007</v>
      </c>
      <c r="M1360" s="31"/>
      <c r="Q1360" s="117"/>
      <c r="R1360" s="117"/>
      <c r="S1360" s="117"/>
      <c r="T1360" s="116"/>
      <c r="X1360" s="29" t="e">
        <f>E1359-#REF!-#REF!-#REF!</f>
        <v>#REF!</v>
      </c>
      <c r="Z1360" s="29">
        <f>E1359+L1360</f>
        <v>1230986.02</v>
      </c>
      <c r="AC1360" s="29" t="e">
        <f>#REF!+#REF!+#REF!</f>
        <v>#REF!</v>
      </c>
      <c r="AE1360" s="29" t="e">
        <f>X1360-AC1360</f>
        <v>#REF!</v>
      </c>
      <c r="AG1360" s="155" t="e">
        <f>AE1360/Z1360</f>
        <v>#REF!</v>
      </c>
    </row>
    <row r="1361" spans="1:20" s="114" customFormat="1" ht="15">
      <c r="A1361" s="12" t="s">
        <v>54</v>
      </c>
      <c r="B1361" s="22"/>
      <c r="C1361" s="25">
        <f>L1359-L1335</f>
        <v>17351.699999999953</v>
      </c>
      <c r="D1361" s="26">
        <f>C1361/L1335</f>
        <v>0.029009365696544102</v>
      </c>
      <c r="E1361" s="24"/>
      <c r="F1361" s="22" t="s">
        <v>18</v>
      </c>
      <c r="G1361" s="117"/>
      <c r="H1361" s="29"/>
      <c r="I1361" s="30">
        <f>I1359+I1360</f>
        <v>515493.00999999995</v>
      </c>
      <c r="J1361" s="26">
        <f>I1361/100000</f>
        <v>5.1549301</v>
      </c>
      <c r="K1361" s="111" t="s">
        <v>19</v>
      </c>
      <c r="L1361" s="26">
        <f>E1359/(2*(100000+I1361))</f>
        <v>0.9394320335173262</v>
      </c>
      <c r="M1361" s="31"/>
      <c r="Q1361" s="117"/>
      <c r="R1361" s="117"/>
      <c r="S1361" s="117"/>
      <c r="T1361" s="116"/>
    </row>
    <row r="1362" spans="1:20" s="114" customFormat="1" ht="15">
      <c r="A1362" s="114">
        <v>7</v>
      </c>
      <c r="B1362" s="22"/>
      <c r="C1362" s="25"/>
      <c r="D1362" s="26"/>
      <c r="E1362" s="24"/>
      <c r="G1362" s="117"/>
      <c r="H1362" s="29"/>
      <c r="I1362" s="30"/>
      <c r="J1362" s="26"/>
      <c r="K1362" s="111"/>
      <c r="L1362" s="26"/>
      <c r="M1362" s="31"/>
      <c r="Q1362" s="117"/>
      <c r="R1362" s="117"/>
      <c r="S1362" s="117"/>
      <c r="T1362" s="116"/>
    </row>
    <row r="1363" spans="2:20" s="114" customFormat="1" ht="15">
      <c r="B1363" s="22"/>
      <c r="C1363" s="25"/>
      <c r="D1363" s="26"/>
      <c r="E1363" s="24"/>
      <c r="F1363" s="22"/>
      <c r="G1363" s="117"/>
      <c r="H1363" s="29"/>
      <c r="I1363" s="30"/>
      <c r="J1363" s="26"/>
      <c r="K1363" s="111"/>
      <c r="L1363" s="26"/>
      <c r="M1363" s="31"/>
      <c r="Q1363" s="117"/>
      <c r="R1363" s="117"/>
      <c r="S1363" s="117"/>
      <c r="T1363" s="116"/>
    </row>
    <row r="1364" spans="1:20" s="114" customFormat="1" ht="30.75" customHeight="1">
      <c r="A1364" s="108" t="s">
        <v>56</v>
      </c>
      <c r="B1364" s="384" t="s">
        <v>436</v>
      </c>
      <c r="C1364" s="384"/>
      <c r="D1364" s="384"/>
      <c r="E1364" s="384"/>
      <c r="F1364" s="384"/>
      <c r="G1364" s="384"/>
      <c r="H1364" s="384"/>
      <c r="I1364" s="384"/>
      <c r="J1364" s="384"/>
      <c r="K1364" s="384"/>
      <c r="L1364" s="384"/>
      <c r="M1364" s="384"/>
      <c r="N1364" s="384"/>
      <c r="O1364" s="92"/>
      <c r="P1364" s="92"/>
      <c r="Q1364" s="104"/>
      <c r="R1364" s="104"/>
      <c r="S1364" s="107"/>
      <c r="T1364" s="109"/>
    </row>
    <row r="1365" spans="1:22" s="114" customFormat="1" ht="15">
      <c r="A1365" s="2" t="s">
        <v>0</v>
      </c>
      <c r="B1365" s="3" t="s">
        <v>1</v>
      </c>
      <c r="C1365" s="4" t="s">
        <v>2</v>
      </c>
      <c r="D1365" s="5" t="s">
        <v>3</v>
      </c>
      <c r="E1365" s="6" t="s">
        <v>4</v>
      </c>
      <c r="F1365" s="3" t="s">
        <v>5</v>
      </c>
      <c r="G1365" s="7" t="s">
        <v>2</v>
      </c>
      <c r="H1365" s="6" t="s">
        <v>6</v>
      </c>
      <c r="I1365" s="6" t="s">
        <v>7</v>
      </c>
      <c r="J1365" s="8" t="s">
        <v>8</v>
      </c>
      <c r="K1365" s="9" t="s">
        <v>9</v>
      </c>
      <c r="L1365" s="10" t="s">
        <v>10</v>
      </c>
      <c r="M1365" s="11" t="s">
        <v>11</v>
      </c>
      <c r="N1365" s="103" t="s">
        <v>53</v>
      </c>
      <c r="O1365" s="105" t="s">
        <v>110</v>
      </c>
      <c r="P1365" s="106" t="s">
        <v>0</v>
      </c>
      <c r="Q1365" s="117" t="s">
        <v>13</v>
      </c>
      <c r="R1365" s="117" t="s">
        <v>70</v>
      </c>
      <c r="S1365" s="111" t="s">
        <v>103</v>
      </c>
      <c r="T1365" s="116" t="s">
        <v>107</v>
      </c>
      <c r="V1365" s="9"/>
    </row>
    <row r="1366" spans="1:20" s="114" customFormat="1" ht="15">
      <c r="A1366" s="12" t="s">
        <v>383</v>
      </c>
      <c r="B1366" s="13">
        <v>42242.48333333333</v>
      </c>
      <c r="C1366" s="14">
        <v>64.98</v>
      </c>
      <c r="D1366" s="15">
        <v>1600</v>
      </c>
      <c r="E1366" s="15">
        <f aca="true" t="shared" si="234" ref="E1366:E1385">C1366*D1366+11</f>
        <v>103979</v>
      </c>
      <c r="F1366" s="13"/>
      <c r="G1366" s="14">
        <v>78.29</v>
      </c>
      <c r="H1366" s="15">
        <f aca="true" t="shared" si="235" ref="H1366:H1385">G1366*D1366</f>
        <v>125264.00000000001</v>
      </c>
      <c r="I1366" s="16">
        <f aca="true" t="shared" si="236" ref="I1366:I1385">H1366-E1366</f>
        <v>21285.000000000015</v>
      </c>
      <c r="J1366" s="19">
        <f aca="true" t="shared" si="237" ref="J1366:J1385">I1366/E1366</f>
        <v>0.20470479616076337</v>
      </c>
      <c r="K1366" s="95" t="s">
        <v>384</v>
      </c>
      <c r="L1366" s="119">
        <v>69.13</v>
      </c>
      <c r="M1366" s="41">
        <f aca="true" t="shared" si="238" ref="M1366:M1385">C1366*0.93</f>
        <v>60.431400000000004</v>
      </c>
      <c r="N1366" s="117">
        <v>88.5</v>
      </c>
      <c r="O1366" s="121">
        <v>42300</v>
      </c>
      <c r="P1366" s="116" t="s">
        <v>383</v>
      </c>
      <c r="Q1366" s="117">
        <v>80.85</v>
      </c>
      <c r="R1366" s="118">
        <f>Q1366*0.855</f>
        <v>69.12674999999999</v>
      </c>
      <c r="S1366" s="117">
        <f>1.11*C1366</f>
        <v>72.12780000000001</v>
      </c>
      <c r="T1366" s="116"/>
    </row>
    <row r="1367" spans="1:20" s="114" customFormat="1" ht="15">
      <c r="A1367" s="12" t="s">
        <v>383</v>
      </c>
      <c r="B1367" s="13">
        <v>42242.53611111111</v>
      </c>
      <c r="C1367" s="14">
        <v>67.31</v>
      </c>
      <c r="D1367" s="15">
        <v>900</v>
      </c>
      <c r="E1367" s="15">
        <f t="shared" si="234"/>
        <v>60590</v>
      </c>
      <c r="F1367" s="13"/>
      <c r="G1367" s="14">
        <v>78.29</v>
      </c>
      <c r="H1367" s="15">
        <f t="shared" si="235"/>
        <v>70461</v>
      </c>
      <c r="I1367" s="16">
        <f t="shared" si="236"/>
        <v>9871</v>
      </c>
      <c r="J1367" s="19">
        <f t="shared" si="237"/>
        <v>0.16291467238818286</v>
      </c>
      <c r="K1367" s="95" t="s">
        <v>386</v>
      </c>
      <c r="L1367" s="119">
        <v>69.13</v>
      </c>
      <c r="M1367" s="41">
        <f t="shared" si="238"/>
        <v>62.59830000000001</v>
      </c>
      <c r="N1367" s="117">
        <v>89.5</v>
      </c>
      <c r="P1367" s="116" t="s">
        <v>383</v>
      </c>
      <c r="Q1367" s="117"/>
      <c r="R1367" s="117"/>
      <c r="S1367" s="117"/>
      <c r="T1367" s="116"/>
    </row>
    <row r="1368" spans="1:20" s="114" customFormat="1" ht="15">
      <c r="A1368" s="12" t="s">
        <v>383</v>
      </c>
      <c r="B1368" s="13">
        <v>42243.32013888889</v>
      </c>
      <c r="C1368" s="14">
        <v>69.5</v>
      </c>
      <c r="D1368" s="15">
        <v>570</v>
      </c>
      <c r="E1368" s="15">
        <f t="shared" si="234"/>
        <v>39626</v>
      </c>
      <c r="F1368" s="13"/>
      <c r="G1368" s="14">
        <v>78.29</v>
      </c>
      <c r="H1368" s="15">
        <f t="shared" si="235"/>
        <v>44625.3</v>
      </c>
      <c r="I1368" s="16">
        <f t="shared" si="236"/>
        <v>4999.300000000003</v>
      </c>
      <c r="J1368" s="19">
        <f t="shared" si="237"/>
        <v>0.12616211578256709</v>
      </c>
      <c r="K1368" s="95" t="s">
        <v>385</v>
      </c>
      <c r="L1368" s="119">
        <v>69.13</v>
      </c>
      <c r="M1368" s="41">
        <f t="shared" si="238"/>
        <v>64.635</v>
      </c>
      <c r="N1368" s="117">
        <v>89.5</v>
      </c>
      <c r="P1368" s="116" t="s">
        <v>383</v>
      </c>
      <c r="Q1368" s="117"/>
      <c r="R1368" s="117"/>
      <c r="S1368" s="117"/>
      <c r="T1368" s="116"/>
    </row>
    <row r="1369" spans="1:20" s="114" customFormat="1" ht="15">
      <c r="A1369" s="85" t="s">
        <v>383</v>
      </c>
      <c r="B1369" s="13">
        <v>42282.29236111111</v>
      </c>
      <c r="C1369" s="14">
        <v>73.5</v>
      </c>
      <c r="D1369" s="15">
        <v>620</v>
      </c>
      <c r="E1369" s="15">
        <f t="shared" si="234"/>
        <v>45581</v>
      </c>
      <c r="F1369" s="13"/>
      <c r="G1369" s="14">
        <v>78.29</v>
      </c>
      <c r="H1369" s="15">
        <f aca="true" t="shared" si="239" ref="H1369">G1369*D1369</f>
        <v>48539.8</v>
      </c>
      <c r="I1369" s="16">
        <f aca="true" t="shared" si="240" ref="I1369">H1369-E1369</f>
        <v>2958.800000000003</v>
      </c>
      <c r="J1369" s="19">
        <f t="shared" si="237"/>
        <v>0.06491301200061436</v>
      </c>
      <c r="K1369" s="95" t="s">
        <v>446</v>
      </c>
      <c r="L1369" s="119">
        <v>69.13</v>
      </c>
      <c r="M1369" s="41">
        <f t="shared" si="238"/>
        <v>68.355</v>
      </c>
      <c r="N1369" s="117">
        <v>89.5</v>
      </c>
      <c r="P1369" s="116" t="s">
        <v>383</v>
      </c>
      <c r="Q1369" s="117"/>
      <c r="R1369" s="117"/>
      <c r="S1369" s="117"/>
      <c r="T1369" s="116"/>
    </row>
    <row r="1370" spans="1:20" s="114" customFormat="1" ht="15">
      <c r="A1370" s="12" t="s">
        <v>388</v>
      </c>
      <c r="B1370" s="13">
        <v>42244.365277777775</v>
      </c>
      <c r="C1370" s="14">
        <v>139.5</v>
      </c>
      <c r="D1370" s="15">
        <v>720</v>
      </c>
      <c r="E1370" s="15">
        <f t="shared" si="234"/>
        <v>100451</v>
      </c>
      <c r="F1370" s="13"/>
      <c r="G1370" s="14">
        <v>166.58</v>
      </c>
      <c r="H1370" s="15">
        <f t="shared" si="235"/>
        <v>119937.6</v>
      </c>
      <c r="I1370" s="16">
        <f t="shared" si="236"/>
        <v>19486.600000000006</v>
      </c>
      <c r="J1370" s="19">
        <f t="shared" si="237"/>
        <v>0.19399110013837598</v>
      </c>
      <c r="K1370" s="95" t="s">
        <v>387</v>
      </c>
      <c r="L1370" s="119">
        <v>145.81</v>
      </c>
      <c r="M1370" s="41">
        <f t="shared" si="238"/>
        <v>129.735</v>
      </c>
      <c r="N1370" s="117">
        <v>179.43</v>
      </c>
      <c r="O1370" s="121">
        <v>42313</v>
      </c>
      <c r="P1370" s="116" t="s">
        <v>388</v>
      </c>
      <c r="Q1370" s="117">
        <v>170.54</v>
      </c>
      <c r="R1370" s="118">
        <f>Q1370*0.855</f>
        <v>145.8117</v>
      </c>
      <c r="S1370" s="117">
        <f>1.11*C1370</f>
        <v>154.84500000000003</v>
      </c>
      <c r="T1370" s="116"/>
    </row>
    <row r="1371" spans="1:20" s="114" customFormat="1" ht="15">
      <c r="A1371" s="12" t="s">
        <v>388</v>
      </c>
      <c r="B1371" s="13">
        <v>42255.47430555556</v>
      </c>
      <c r="C1371" s="14">
        <v>141.06</v>
      </c>
      <c r="D1371" s="15">
        <v>430</v>
      </c>
      <c r="E1371" s="15">
        <f t="shared" si="234"/>
        <v>60666.8</v>
      </c>
      <c r="F1371" s="13"/>
      <c r="G1371" s="14">
        <v>166.58</v>
      </c>
      <c r="H1371" s="15">
        <f t="shared" si="235"/>
        <v>71629.40000000001</v>
      </c>
      <c r="I1371" s="16">
        <f t="shared" si="236"/>
        <v>10962.600000000006</v>
      </c>
      <c r="J1371" s="19">
        <f t="shared" si="237"/>
        <v>0.18070180065538327</v>
      </c>
      <c r="K1371" s="95" t="s">
        <v>394</v>
      </c>
      <c r="L1371" s="119">
        <v>145.81</v>
      </c>
      <c r="M1371" s="41">
        <f t="shared" si="238"/>
        <v>131.1858</v>
      </c>
      <c r="N1371" s="117">
        <v>179.43</v>
      </c>
      <c r="O1371" s="113"/>
      <c r="P1371" s="116" t="s">
        <v>388</v>
      </c>
      <c r="Q1371" s="117"/>
      <c r="R1371" s="118"/>
      <c r="S1371" s="117"/>
      <c r="T1371" s="116"/>
    </row>
    <row r="1372" spans="1:20" s="114" customFormat="1" ht="15">
      <c r="A1372" s="12" t="s">
        <v>388</v>
      </c>
      <c r="B1372" s="13">
        <v>42257.325</v>
      </c>
      <c r="C1372" s="14">
        <v>143.71</v>
      </c>
      <c r="D1372" s="15">
        <v>280</v>
      </c>
      <c r="E1372" s="15">
        <f t="shared" si="234"/>
        <v>40249.8</v>
      </c>
      <c r="F1372" s="13"/>
      <c r="G1372" s="14">
        <v>166.58</v>
      </c>
      <c r="H1372" s="15">
        <f t="shared" si="235"/>
        <v>46642.4</v>
      </c>
      <c r="I1372" s="16">
        <f t="shared" si="236"/>
        <v>6392.5999999999985</v>
      </c>
      <c r="J1372" s="19">
        <f t="shared" si="237"/>
        <v>0.15882314943179837</v>
      </c>
      <c r="K1372" s="95" t="s">
        <v>395</v>
      </c>
      <c r="L1372" s="119">
        <v>145.81</v>
      </c>
      <c r="M1372" s="41">
        <f t="shared" si="238"/>
        <v>133.65030000000002</v>
      </c>
      <c r="N1372" s="117">
        <v>179.43</v>
      </c>
      <c r="O1372" s="113"/>
      <c r="P1372" s="116" t="s">
        <v>388</v>
      </c>
      <c r="Q1372" s="117"/>
      <c r="R1372" s="118"/>
      <c r="S1372" s="117"/>
      <c r="T1372" s="116"/>
    </row>
    <row r="1373" spans="1:20" s="114" customFormat="1" ht="15">
      <c r="A1373" s="12" t="s">
        <v>388</v>
      </c>
      <c r="B1373" s="13">
        <v>42278.46111111111</v>
      </c>
      <c r="C1373" s="14">
        <v>161.21</v>
      </c>
      <c r="D1373" s="15">
        <v>290</v>
      </c>
      <c r="E1373" s="15">
        <f t="shared" si="234"/>
        <v>46761.9</v>
      </c>
      <c r="F1373" s="13"/>
      <c r="G1373" s="14">
        <v>166.58</v>
      </c>
      <c r="H1373" s="15">
        <f t="shared" si="235"/>
        <v>48308.200000000004</v>
      </c>
      <c r="I1373" s="16">
        <f t="shared" si="236"/>
        <v>1546.300000000003</v>
      </c>
      <c r="J1373" s="19">
        <f t="shared" si="237"/>
        <v>0.03306751864231357</v>
      </c>
      <c r="K1373" s="95" t="s">
        <v>435</v>
      </c>
      <c r="L1373" s="119"/>
      <c r="M1373" s="20">
        <f t="shared" si="238"/>
        <v>149.92530000000002</v>
      </c>
      <c r="N1373" s="117">
        <v>179.43</v>
      </c>
      <c r="O1373" s="113"/>
      <c r="P1373" s="116" t="s">
        <v>388</v>
      </c>
      <c r="Q1373" s="117"/>
      <c r="R1373" s="118"/>
      <c r="S1373" s="117"/>
      <c r="T1373" s="116"/>
    </row>
    <row r="1374" spans="1:20" s="114" customFormat="1" ht="15">
      <c r="A1374" s="12" t="s">
        <v>406</v>
      </c>
      <c r="B1374" s="13">
        <v>42262.37986111111</v>
      </c>
      <c r="C1374" s="14">
        <v>71.51</v>
      </c>
      <c r="D1374" s="15">
        <v>1400</v>
      </c>
      <c r="E1374" s="15">
        <f t="shared" si="234"/>
        <v>100125</v>
      </c>
      <c r="F1374" s="13"/>
      <c r="G1374" s="14">
        <v>75.25</v>
      </c>
      <c r="H1374" s="15">
        <f t="shared" si="235"/>
        <v>105350</v>
      </c>
      <c r="I1374" s="16">
        <f t="shared" si="236"/>
        <v>5225</v>
      </c>
      <c r="J1374" s="19">
        <f t="shared" si="237"/>
        <v>0.052184769038701624</v>
      </c>
      <c r="K1374" s="95" t="s">
        <v>417</v>
      </c>
      <c r="L1374" s="119"/>
      <c r="M1374" s="20">
        <f t="shared" si="238"/>
        <v>66.50430000000001</v>
      </c>
      <c r="N1374" s="117">
        <v>93.15</v>
      </c>
      <c r="O1374" s="121">
        <v>42339</v>
      </c>
      <c r="P1374" s="116" t="s">
        <v>406</v>
      </c>
      <c r="Q1374" s="117">
        <v>75.9</v>
      </c>
      <c r="R1374" s="118"/>
      <c r="S1374" s="117">
        <f>1.11*C1374</f>
        <v>79.37610000000001</v>
      </c>
      <c r="T1374" s="116"/>
    </row>
    <row r="1375" spans="1:20" s="114" customFormat="1" ht="15">
      <c r="A1375" s="12" t="s">
        <v>406</v>
      </c>
      <c r="B1375" s="13">
        <v>42272.38680555556</v>
      </c>
      <c r="C1375" s="14">
        <v>73.36</v>
      </c>
      <c r="D1375" s="15">
        <v>820</v>
      </c>
      <c r="E1375" s="15">
        <f t="shared" si="234"/>
        <v>60166.2</v>
      </c>
      <c r="F1375" s="13"/>
      <c r="G1375" s="14">
        <v>75.25</v>
      </c>
      <c r="H1375" s="15">
        <f t="shared" si="235"/>
        <v>61705</v>
      </c>
      <c r="I1375" s="16">
        <f t="shared" si="236"/>
        <v>1538.800000000003</v>
      </c>
      <c r="J1375" s="19">
        <f t="shared" si="237"/>
        <v>0.025575821640721915</v>
      </c>
      <c r="K1375" s="95" t="s">
        <v>426</v>
      </c>
      <c r="L1375" s="119"/>
      <c r="M1375" s="20">
        <f t="shared" si="238"/>
        <v>68.2248</v>
      </c>
      <c r="N1375" s="117">
        <v>93.15</v>
      </c>
      <c r="O1375" s="87"/>
      <c r="P1375" s="116" t="s">
        <v>406</v>
      </c>
      <c r="Q1375" s="117"/>
      <c r="R1375" s="118"/>
      <c r="S1375" s="117"/>
      <c r="T1375" s="116"/>
    </row>
    <row r="1376" spans="1:20" s="114" customFormat="1" ht="15">
      <c r="A1376" s="12" t="s">
        <v>406</v>
      </c>
      <c r="B1376" s="13">
        <v>42279.53611111111</v>
      </c>
      <c r="C1376" s="14">
        <v>73.86</v>
      </c>
      <c r="D1376" s="15">
        <v>550</v>
      </c>
      <c r="E1376" s="15">
        <f t="shared" si="234"/>
        <v>40634</v>
      </c>
      <c r="F1376" s="13"/>
      <c r="G1376" s="14">
        <v>75.25</v>
      </c>
      <c r="H1376" s="15">
        <f t="shared" si="235"/>
        <v>41387.5</v>
      </c>
      <c r="I1376" s="16">
        <f t="shared" si="236"/>
        <v>753.5</v>
      </c>
      <c r="J1376" s="19">
        <f t="shared" si="237"/>
        <v>0.018543584190579318</v>
      </c>
      <c r="K1376" s="95" t="s">
        <v>425</v>
      </c>
      <c r="L1376" s="119"/>
      <c r="M1376" s="20">
        <f t="shared" si="238"/>
        <v>68.6898</v>
      </c>
      <c r="N1376" s="117">
        <v>93.15</v>
      </c>
      <c r="O1376" s="87"/>
      <c r="P1376" s="116" t="s">
        <v>406</v>
      </c>
      <c r="Q1376" s="117"/>
      <c r="R1376" s="118"/>
      <c r="S1376" s="117"/>
      <c r="T1376" s="116"/>
    </row>
    <row r="1377" spans="1:20" s="114" customFormat="1" ht="15">
      <c r="A1377" s="12" t="s">
        <v>73</v>
      </c>
      <c r="B1377" s="13">
        <v>42277.27777777778</v>
      </c>
      <c r="C1377" s="14">
        <v>28.8</v>
      </c>
      <c r="D1377" s="15">
        <v>3500</v>
      </c>
      <c r="E1377" s="15">
        <f t="shared" si="234"/>
        <v>100811</v>
      </c>
      <c r="F1377" s="13"/>
      <c r="G1377" s="14">
        <v>33.25</v>
      </c>
      <c r="H1377" s="15">
        <f t="shared" si="235"/>
        <v>116375</v>
      </c>
      <c r="I1377" s="16">
        <f t="shared" si="236"/>
        <v>15564</v>
      </c>
      <c r="J1377" s="19">
        <f t="shared" si="237"/>
        <v>0.15438791401731955</v>
      </c>
      <c r="K1377" s="95" t="s">
        <v>427</v>
      </c>
      <c r="L1377" s="119">
        <v>29.07</v>
      </c>
      <c r="M1377" s="41">
        <f t="shared" si="238"/>
        <v>26.784000000000002</v>
      </c>
      <c r="N1377" s="117">
        <v>36.2</v>
      </c>
      <c r="O1377" s="121">
        <v>42333</v>
      </c>
      <c r="P1377" s="116" t="s">
        <v>73</v>
      </c>
      <c r="Q1377" s="117">
        <v>34</v>
      </c>
      <c r="R1377" s="118">
        <f>Q1377*0.855</f>
        <v>29.07</v>
      </c>
      <c r="S1377" s="117">
        <f>1.11*C1377</f>
        <v>31.968000000000004</v>
      </c>
      <c r="T1377" s="116"/>
    </row>
    <row r="1378" spans="1:20" s="114" customFormat="1" ht="15">
      <c r="A1378" s="12" t="s">
        <v>73</v>
      </c>
      <c r="B1378" s="13">
        <v>42277.30972222222</v>
      </c>
      <c r="C1378" s="14">
        <v>29.12</v>
      </c>
      <c r="D1378" s="15">
        <v>2100</v>
      </c>
      <c r="E1378" s="15">
        <f t="shared" si="234"/>
        <v>61163</v>
      </c>
      <c r="F1378" s="13"/>
      <c r="G1378" s="14">
        <v>33.25</v>
      </c>
      <c r="H1378" s="15">
        <f t="shared" si="235"/>
        <v>69825</v>
      </c>
      <c r="I1378" s="16">
        <f t="shared" si="236"/>
        <v>8662</v>
      </c>
      <c r="J1378" s="19">
        <f t="shared" si="237"/>
        <v>0.14162156859539263</v>
      </c>
      <c r="K1378" s="95" t="s">
        <v>428</v>
      </c>
      <c r="L1378" s="119">
        <v>29.07</v>
      </c>
      <c r="M1378" s="41">
        <f t="shared" si="238"/>
        <v>27.0816</v>
      </c>
      <c r="N1378" s="117">
        <v>36.2</v>
      </c>
      <c r="O1378" s="87"/>
      <c r="P1378" s="116" t="s">
        <v>73</v>
      </c>
      <c r="Q1378" s="117"/>
      <c r="R1378" s="118"/>
      <c r="S1378" s="117"/>
      <c r="T1378" s="116"/>
    </row>
    <row r="1379" spans="1:20" s="114" customFormat="1" ht="15">
      <c r="A1379" s="12" t="s">
        <v>73</v>
      </c>
      <c r="B1379" s="13">
        <v>42277.34652777778</v>
      </c>
      <c r="C1379" s="14">
        <v>29.74</v>
      </c>
      <c r="D1379" s="15">
        <v>1350</v>
      </c>
      <c r="E1379" s="15">
        <f t="shared" si="234"/>
        <v>40160</v>
      </c>
      <c r="F1379" s="13"/>
      <c r="G1379" s="14">
        <v>33.25</v>
      </c>
      <c r="H1379" s="15">
        <f t="shared" si="235"/>
        <v>44887.5</v>
      </c>
      <c r="I1379" s="16">
        <f t="shared" si="236"/>
        <v>4727.5</v>
      </c>
      <c r="J1379" s="19">
        <f t="shared" si="237"/>
        <v>0.11771663346613546</v>
      </c>
      <c r="K1379" s="95" t="s">
        <v>429</v>
      </c>
      <c r="L1379" s="119">
        <v>29.07</v>
      </c>
      <c r="M1379" s="41">
        <f t="shared" si="238"/>
        <v>27.6582</v>
      </c>
      <c r="N1379" s="117">
        <v>36.2</v>
      </c>
      <c r="O1379" s="87"/>
      <c r="P1379" s="116" t="s">
        <v>73</v>
      </c>
      <c r="Q1379" s="117"/>
      <c r="R1379" s="118"/>
      <c r="S1379" s="117"/>
      <c r="T1379" s="116"/>
    </row>
    <row r="1380" spans="1:20" s="114" customFormat="1" ht="15">
      <c r="A1380" s="12" t="s">
        <v>63</v>
      </c>
      <c r="B1380" s="13">
        <v>42279.495833333334</v>
      </c>
      <c r="C1380" s="14">
        <v>24.24</v>
      </c>
      <c r="D1380" s="15">
        <v>4150</v>
      </c>
      <c r="E1380" s="15">
        <f t="shared" si="234"/>
        <v>100607</v>
      </c>
      <c r="F1380" s="13"/>
      <c r="G1380" s="14">
        <v>25.89</v>
      </c>
      <c r="H1380" s="15">
        <f t="shared" si="235"/>
        <v>107443.5</v>
      </c>
      <c r="I1380" s="16">
        <f t="shared" si="236"/>
        <v>6836.5</v>
      </c>
      <c r="J1380" s="19">
        <f t="shared" si="237"/>
        <v>0.06795252815410459</v>
      </c>
      <c r="K1380" s="95" t="s">
        <v>439</v>
      </c>
      <c r="L1380" s="119"/>
      <c r="M1380" s="20">
        <f t="shared" si="238"/>
        <v>22.5432</v>
      </c>
      <c r="N1380" s="117">
        <v>31.93</v>
      </c>
      <c r="O1380" s="121">
        <v>42339</v>
      </c>
      <c r="P1380" s="116" t="s">
        <v>63</v>
      </c>
      <c r="Q1380" s="117">
        <v>26.43</v>
      </c>
      <c r="R1380" s="118"/>
      <c r="S1380" s="117">
        <f>1.11*C1380</f>
        <v>26.9064</v>
      </c>
      <c r="T1380" s="116"/>
    </row>
    <row r="1381" spans="1:20" s="114" customFormat="1" ht="15">
      <c r="A1381" s="85" t="s">
        <v>63</v>
      </c>
      <c r="B1381" s="13">
        <v>42282.274305555555</v>
      </c>
      <c r="C1381" s="14">
        <v>24.95</v>
      </c>
      <c r="D1381" s="15">
        <v>2400</v>
      </c>
      <c r="E1381" s="15">
        <f t="shared" si="234"/>
        <v>59891</v>
      </c>
      <c r="F1381" s="13"/>
      <c r="G1381" s="14">
        <v>25.89</v>
      </c>
      <c r="H1381" s="15">
        <f t="shared" si="235"/>
        <v>62136</v>
      </c>
      <c r="I1381" s="16">
        <f t="shared" si="236"/>
        <v>2245</v>
      </c>
      <c r="J1381" s="19">
        <f t="shared" si="237"/>
        <v>0.037484763987911375</v>
      </c>
      <c r="K1381" s="95" t="s">
        <v>437</v>
      </c>
      <c r="L1381" s="119"/>
      <c r="M1381" s="20">
        <f t="shared" si="238"/>
        <v>23.203500000000002</v>
      </c>
      <c r="N1381" s="117">
        <v>31.93</v>
      </c>
      <c r="O1381" s="87"/>
      <c r="P1381" s="116" t="s">
        <v>63</v>
      </c>
      <c r="Q1381" s="117"/>
      <c r="R1381" s="118"/>
      <c r="S1381" s="117"/>
      <c r="T1381" s="116"/>
    </row>
    <row r="1382" spans="1:20" s="114" customFormat="1" ht="15">
      <c r="A1382" s="85" t="s">
        <v>63</v>
      </c>
      <c r="B1382" s="13">
        <v>42282.41111111111</v>
      </c>
      <c r="C1382" s="14">
        <v>25.39</v>
      </c>
      <c r="D1382" s="15">
        <v>1600</v>
      </c>
      <c r="E1382" s="15">
        <f t="shared" si="234"/>
        <v>40635</v>
      </c>
      <c r="F1382" s="13"/>
      <c r="G1382" s="14">
        <v>25.89</v>
      </c>
      <c r="H1382" s="15">
        <f t="shared" si="235"/>
        <v>41424</v>
      </c>
      <c r="I1382" s="16">
        <f t="shared" si="236"/>
        <v>789</v>
      </c>
      <c r="J1382" s="19">
        <f t="shared" si="237"/>
        <v>0.019416758951642674</v>
      </c>
      <c r="K1382" s="95" t="s">
        <v>438</v>
      </c>
      <c r="L1382" s="119"/>
      <c r="M1382" s="20">
        <f t="shared" si="238"/>
        <v>23.6127</v>
      </c>
      <c r="N1382" s="117">
        <v>31.93</v>
      </c>
      <c r="O1382" s="87"/>
      <c r="P1382" s="116" t="s">
        <v>63</v>
      </c>
      <c r="Q1382" s="117"/>
      <c r="R1382" s="118"/>
      <c r="S1382" s="117"/>
      <c r="T1382" s="116"/>
    </row>
    <row r="1383" spans="1:20" s="114" customFormat="1" ht="15">
      <c r="A1383" s="12" t="s">
        <v>418</v>
      </c>
      <c r="B1383" s="13">
        <v>42279.50763888889</v>
      </c>
      <c r="C1383" s="14">
        <v>20.86</v>
      </c>
      <c r="D1383" s="15">
        <v>4800</v>
      </c>
      <c r="E1383" s="15">
        <f t="shared" si="234"/>
        <v>100139</v>
      </c>
      <c r="F1383" s="13"/>
      <c r="G1383" s="14">
        <v>21.65</v>
      </c>
      <c r="H1383" s="15">
        <f t="shared" si="235"/>
        <v>103920</v>
      </c>
      <c r="I1383" s="16">
        <f t="shared" si="236"/>
        <v>3781</v>
      </c>
      <c r="J1383" s="19">
        <f t="shared" si="237"/>
        <v>0.03775751705129869</v>
      </c>
      <c r="K1383" s="95" t="s">
        <v>430</v>
      </c>
      <c r="L1383" s="119"/>
      <c r="M1383" s="20">
        <f t="shared" si="238"/>
        <v>19.3998</v>
      </c>
      <c r="N1383" s="117">
        <v>25.86</v>
      </c>
      <c r="O1383" s="121">
        <v>42338</v>
      </c>
      <c r="P1383" s="116" t="s">
        <v>418</v>
      </c>
      <c r="Q1383" s="117">
        <v>21.82</v>
      </c>
      <c r="R1383" s="118"/>
      <c r="S1383" s="117">
        <f>1.11*C1383</f>
        <v>23.154600000000002</v>
      </c>
      <c r="T1383" s="116"/>
    </row>
    <row r="1384" spans="1:20" s="114" customFormat="1" ht="15">
      <c r="A1384" s="85" t="s">
        <v>418</v>
      </c>
      <c r="B1384" s="13">
        <v>42283.475</v>
      </c>
      <c r="C1384" s="14">
        <v>21.31</v>
      </c>
      <c r="D1384" s="15">
        <v>2820</v>
      </c>
      <c r="E1384" s="15">
        <f t="shared" si="234"/>
        <v>60105.2</v>
      </c>
      <c r="F1384" s="13"/>
      <c r="G1384" s="14">
        <v>21.65</v>
      </c>
      <c r="H1384" s="15">
        <f t="shared" si="235"/>
        <v>61052.99999999999</v>
      </c>
      <c r="I1384" s="16">
        <f t="shared" si="236"/>
        <v>947.7999999999956</v>
      </c>
      <c r="J1384" s="19">
        <f t="shared" si="237"/>
        <v>0.01576901832121007</v>
      </c>
      <c r="K1384" s="95" t="s">
        <v>440</v>
      </c>
      <c r="L1384" s="119"/>
      <c r="M1384" s="20">
        <f t="shared" si="238"/>
        <v>19.8183</v>
      </c>
      <c r="N1384" s="117">
        <v>25.86</v>
      </c>
      <c r="O1384" s="87"/>
      <c r="P1384" s="116" t="s">
        <v>418</v>
      </c>
      <c r="Q1384" s="117"/>
      <c r="R1384" s="118"/>
      <c r="S1384" s="117"/>
      <c r="T1384" s="116"/>
    </row>
    <row r="1385" spans="1:20" s="114" customFormat="1" ht="15">
      <c r="A1385" s="12" t="s">
        <v>433</v>
      </c>
      <c r="B1385" s="13">
        <v>42279.53611111111</v>
      </c>
      <c r="C1385" s="14">
        <v>182.34</v>
      </c>
      <c r="D1385" s="15">
        <v>550</v>
      </c>
      <c r="E1385" s="15">
        <f t="shared" si="234"/>
        <v>100298</v>
      </c>
      <c r="F1385" s="13"/>
      <c r="G1385" s="14">
        <v>188.19</v>
      </c>
      <c r="H1385" s="15">
        <f t="shared" si="235"/>
        <v>103504.5</v>
      </c>
      <c r="I1385" s="16">
        <f t="shared" si="236"/>
        <v>3206.5</v>
      </c>
      <c r="J1385" s="19">
        <f t="shared" si="237"/>
        <v>0.0319697302039921</v>
      </c>
      <c r="K1385" s="95" t="s">
        <v>441</v>
      </c>
      <c r="L1385" s="119"/>
      <c r="M1385" s="20">
        <f t="shared" si="238"/>
        <v>169.5762</v>
      </c>
      <c r="N1385" s="117">
        <v>232.76</v>
      </c>
      <c r="O1385" s="121">
        <v>42341</v>
      </c>
      <c r="P1385" s="116" t="s">
        <v>433</v>
      </c>
      <c r="Q1385" s="117">
        <v>194.14</v>
      </c>
      <c r="R1385" s="118"/>
      <c r="S1385" s="117">
        <f>1.11*C1385</f>
        <v>202.39740000000003</v>
      </c>
      <c r="T1385" s="116"/>
    </row>
    <row r="1386" spans="1:20" s="114" customFormat="1" ht="15">
      <c r="A1386" s="12"/>
      <c r="B1386" s="13"/>
      <c r="C1386" s="14"/>
      <c r="D1386" s="15"/>
      <c r="E1386" s="15"/>
      <c r="G1386" s="14"/>
      <c r="H1386" s="15"/>
      <c r="I1386" s="16"/>
      <c r="J1386" s="19"/>
      <c r="K1386" s="95"/>
      <c r="L1386" s="119"/>
      <c r="M1386" s="32"/>
      <c r="N1386" s="117"/>
      <c r="P1386" s="116"/>
      <c r="Q1386" s="117"/>
      <c r="R1386" s="117"/>
      <c r="S1386" s="117"/>
      <c r="T1386" s="116"/>
    </row>
    <row r="1387" spans="1:33" s="114" customFormat="1" ht="15">
      <c r="A1387" s="21" t="s">
        <v>14</v>
      </c>
      <c r="B1387" s="22"/>
      <c r="C1387" s="23"/>
      <c r="D1387" s="24"/>
      <c r="E1387" s="24">
        <f>SUM(E1366:E1386)</f>
        <v>1362639.9</v>
      </c>
      <c r="F1387" s="13"/>
      <c r="G1387" s="23"/>
      <c r="H1387" s="24">
        <f>SUM(H1366:H1386)</f>
        <v>1494418.7</v>
      </c>
      <c r="I1387" s="25">
        <f>SUM(I1366:I1386)</f>
        <v>131778.80000000002</v>
      </c>
      <c r="J1387" s="26">
        <f>I1387/E1387</f>
        <v>0.09670845540336814</v>
      </c>
      <c r="K1387" s="27" t="s">
        <v>15</v>
      </c>
      <c r="L1387" s="28">
        <f>100000+I1389</f>
        <v>682375.01</v>
      </c>
      <c r="M1387" s="81"/>
      <c r="N1387" s="89"/>
      <c r="Q1387" s="117"/>
      <c r="R1387" s="117"/>
      <c r="S1387" s="117"/>
      <c r="T1387" s="116"/>
      <c r="X1387" s="114" t="s">
        <v>371</v>
      </c>
      <c r="Z1387" s="114" t="s">
        <v>17</v>
      </c>
      <c r="AC1387" s="114" t="s">
        <v>372</v>
      </c>
      <c r="AE1387" s="114" t="s">
        <v>373</v>
      </c>
      <c r="AG1387" s="114" t="s">
        <v>374</v>
      </c>
    </row>
    <row r="1388" spans="1:33" s="114" customFormat="1" ht="15">
      <c r="A1388" s="12" t="s">
        <v>67</v>
      </c>
      <c r="B1388" s="22"/>
      <c r="C1388" s="25">
        <f>I1389-I1361</f>
        <v>66882.00000000006</v>
      </c>
      <c r="D1388" s="26">
        <f>C1388/H1359</f>
        <v>0.05475187980880972</v>
      </c>
      <c r="E1388" s="24"/>
      <c r="F1388" s="22" t="s">
        <v>16</v>
      </c>
      <c r="G1388" s="117"/>
      <c r="H1388" s="29" t="str">
        <f>IF(ABS(H1387-E1387-I1387)&lt;1,"","ERROR")</f>
        <v/>
      </c>
      <c r="I1388" s="16">
        <v>450596.20999999996</v>
      </c>
      <c r="J1388" s="26"/>
      <c r="K1388" s="111" t="s">
        <v>17</v>
      </c>
      <c r="L1388" s="28">
        <f>(2*(100000+I1389))-E1387</f>
        <v>2110.1200000001118</v>
      </c>
      <c r="M1388" s="31"/>
      <c r="Q1388" s="117"/>
      <c r="R1388" s="117"/>
      <c r="S1388" s="117"/>
      <c r="T1388" s="116"/>
      <c r="X1388" s="29" t="e">
        <f>E1387-#REF!-#REF!-#REF!</f>
        <v>#REF!</v>
      </c>
      <c r="Z1388" s="29">
        <f>E1387+L1388</f>
        <v>1364750.02</v>
      </c>
      <c r="AC1388" s="29" t="e">
        <f>#REF!+#REF!+#REF!</f>
        <v>#REF!</v>
      </c>
      <c r="AE1388" s="29" t="e">
        <f>X1388-AC1388</f>
        <v>#REF!</v>
      </c>
      <c r="AG1388" s="155" t="e">
        <f>AE1388/Z1388</f>
        <v>#REF!</v>
      </c>
    </row>
    <row r="1389" spans="1:20" s="114" customFormat="1" ht="15">
      <c r="A1389" s="12" t="s">
        <v>54</v>
      </c>
      <c r="B1389" s="22"/>
      <c r="C1389" s="25">
        <f>L1387-L1359</f>
        <v>66882</v>
      </c>
      <c r="D1389" s="26">
        <f>C1389/L1359</f>
        <v>0.10866410976787534</v>
      </c>
      <c r="E1389" s="24"/>
      <c r="F1389" s="22" t="s">
        <v>18</v>
      </c>
      <c r="G1389" s="117"/>
      <c r="H1389" s="29"/>
      <c r="I1389" s="30">
        <f>I1387+I1388</f>
        <v>582375.01</v>
      </c>
      <c r="J1389" s="26">
        <f>I1389/100000</f>
        <v>5.8237501</v>
      </c>
      <c r="K1389" s="111" t="s">
        <v>19</v>
      </c>
      <c r="L1389" s="26">
        <f>E1387/(2*(100000+I1389))</f>
        <v>0.9984538413855454</v>
      </c>
      <c r="M1389" s="31"/>
      <c r="Q1389" s="117"/>
      <c r="R1389" s="117"/>
      <c r="S1389" s="117"/>
      <c r="T1389" s="116"/>
    </row>
    <row r="1390" spans="1:20" s="114" customFormat="1" ht="15">
      <c r="A1390" s="114">
        <v>7</v>
      </c>
      <c r="B1390" s="22"/>
      <c r="C1390" s="25"/>
      <c r="D1390" s="26"/>
      <c r="E1390" s="24"/>
      <c r="G1390" s="117"/>
      <c r="H1390" s="29"/>
      <c r="I1390" s="30"/>
      <c r="J1390" s="26"/>
      <c r="K1390" s="111"/>
      <c r="L1390" s="26"/>
      <c r="M1390" s="31"/>
      <c r="Q1390" s="117"/>
      <c r="R1390" s="117"/>
      <c r="S1390" s="117"/>
      <c r="T1390" s="116"/>
    </row>
    <row r="1391" spans="2:20" s="114" customFormat="1" ht="15">
      <c r="B1391" s="22"/>
      <c r="C1391" s="25"/>
      <c r="D1391" s="26"/>
      <c r="E1391" s="24"/>
      <c r="F1391" s="22"/>
      <c r="G1391" s="117"/>
      <c r="H1391" s="29"/>
      <c r="I1391" s="30"/>
      <c r="J1391" s="26"/>
      <c r="K1391" s="111"/>
      <c r="L1391" s="26"/>
      <c r="M1391" s="31"/>
      <c r="Q1391" s="117"/>
      <c r="R1391" s="117"/>
      <c r="S1391" s="117"/>
      <c r="T1391" s="116"/>
    </row>
    <row r="1392" spans="1:20" s="114" customFormat="1" ht="30.75" customHeight="1">
      <c r="A1392" s="108" t="s">
        <v>56</v>
      </c>
      <c r="B1392" s="384" t="s">
        <v>442</v>
      </c>
      <c r="C1392" s="384"/>
      <c r="D1392" s="384"/>
      <c r="E1392" s="384"/>
      <c r="F1392" s="384"/>
      <c r="G1392" s="384"/>
      <c r="H1392" s="384"/>
      <c r="I1392" s="384"/>
      <c r="J1392" s="384"/>
      <c r="K1392" s="384"/>
      <c r="L1392" s="384"/>
      <c r="M1392" s="384"/>
      <c r="N1392" s="384"/>
      <c r="O1392" s="92"/>
      <c r="P1392" s="92"/>
      <c r="Q1392" s="104"/>
      <c r="R1392" s="104"/>
      <c r="S1392" s="107"/>
      <c r="T1392" s="109"/>
    </row>
    <row r="1393" spans="1:22" s="114" customFormat="1" ht="15">
      <c r="A1393" s="2" t="s">
        <v>0</v>
      </c>
      <c r="B1393" s="3" t="s">
        <v>1</v>
      </c>
      <c r="C1393" s="4" t="s">
        <v>2</v>
      </c>
      <c r="D1393" s="5" t="s">
        <v>3</v>
      </c>
      <c r="E1393" s="6" t="s">
        <v>4</v>
      </c>
      <c r="F1393" s="3" t="s">
        <v>5</v>
      </c>
      <c r="G1393" s="7" t="s">
        <v>2</v>
      </c>
      <c r="H1393" s="6" t="s">
        <v>6</v>
      </c>
      <c r="I1393" s="6" t="s">
        <v>7</v>
      </c>
      <c r="J1393" s="8" t="s">
        <v>8</v>
      </c>
      <c r="K1393" s="9" t="s">
        <v>9</v>
      </c>
      <c r="L1393" s="10" t="s">
        <v>10</v>
      </c>
      <c r="M1393" s="11" t="s">
        <v>11</v>
      </c>
      <c r="N1393" s="103" t="s">
        <v>53</v>
      </c>
      <c r="O1393" s="105" t="s">
        <v>110</v>
      </c>
      <c r="P1393" s="106" t="s">
        <v>0</v>
      </c>
      <c r="Q1393" s="117" t="s">
        <v>13</v>
      </c>
      <c r="R1393" s="117" t="s">
        <v>70</v>
      </c>
      <c r="S1393" s="111" t="s">
        <v>103</v>
      </c>
      <c r="T1393" s="116" t="s">
        <v>107</v>
      </c>
      <c r="V1393" s="9"/>
    </row>
    <row r="1394" spans="1:20" s="114" customFormat="1" ht="15">
      <c r="A1394" s="12" t="s">
        <v>383</v>
      </c>
      <c r="B1394" s="13">
        <v>42242.48333333333</v>
      </c>
      <c r="C1394" s="14">
        <v>64.98</v>
      </c>
      <c r="D1394" s="15">
        <v>1600</v>
      </c>
      <c r="E1394" s="15">
        <f aca="true" t="shared" si="241" ref="E1394:E1415">C1394*D1394+11</f>
        <v>103979</v>
      </c>
      <c r="F1394" s="13"/>
      <c r="G1394" s="14">
        <v>75.2</v>
      </c>
      <c r="H1394" s="15">
        <f aca="true" t="shared" si="242" ref="H1394:H1415">G1394*D1394</f>
        <v>120320</v>
      </c>
      <c r="I1394" s="16">
        <f aca="true" t="shared" si="243" ref="I1394:I1415">H1394-E1394</f>
        <v>16341</v>
      </c>
      <c r="J1394" s="19">
        <f aca="true" t="shared" si="244" ref="J1394:J1415">I1394/E1394</f>
        <v>0.15715673357120188</v>
      </c>
      <c r="K1394" s="95" t="s">
        <v>384</v>
      </c>
      <c r="L1394" s="119">
        <v>69.13</v>
      </c>
      <c r="M1394" s="41">
        <f aca="true" t="shared" si="245" ref="M1394:M1415">C1394*0.93</f>
        <v>60.431400000000004</v>
      </c>
      <c r="N1394" s="117">
        <v>88.5</v>
      </c>
      <c r="O1394" s="121">
        <v>42300</v>
      </c>
      <c r="P1394" s="116" t="s">
        <v>383</v>
      </c>
      <c r="Q1394" s="117">
        <v>80.85</v>
      </c>
      <c r="R1394" s="118">
        <f>Q1394*0.855</f>
        <v>69.12674999999999</v>
      </c>
      <c r="S1394" s="117">
        <f>1.11*C1394</f>
        <v>72.12780000000001</v>
      </c>
      <c r="T1394" s="116"/>
    </row>
    <row r="1395" spans="1:20" s="114" customFormat="1" ht="15">
      <c r="A1395" s="12" t="s">
        <v>383</v>
      </c>
      <c r="B1395" s="13">
        <v>42242.53611111111</v>
      </c>
      <c r="C1395" s="14">
        <v>67.31</v>
      </c>
      <c r="D1395" s="15">
        <v>900</v>
      </c>
      <c r="E1395" s="15">
        <f t="shared" si="241"/>
        <v>60590</v>
      </c>
      <c r="F1395" s="13"/>
      <c r="G1395" s="14">
        <v>75.2</v>
      </c>
      <c r="H1395" s="15">
        <f t="shared" si="242"/>
        <v>67680</v>
      </c>
      <c r="I1395" s="16">
        <f t="shared" si="243"/>
        <v>7090</v>
      </c>
      <c r="J1395" s="19">
        <f t="shared" si="244"/>
        <v>0.11701600924244925</v>
      </c>
      <c r="K1395" s="95" t="s">
        <v>386</v>
      </c>
      <c r="L1395" s="119">
        <v>69.13</v>
      </c>
      <c r="M1395" s="41">
        <f t="shared" si="245"/>
        <v>62.59830000000001</v>
      </c>
      <c r="N1395" s="117">
        <v>89.5</v>
      </c>
      <c r="P1395" s="116" t="s">
        <v>383</v>
      </c>
      <c r="Q1395" s="117"/>
      <c r="R1395" s="117"/>
      <c r="S1395" s="117"/>
      <c r="T1395" s="116"/>
    </row>
    <row r="1396" spans="1:20" s="114" customFormat="1" ht="15">
      <c r="A1396" s="12" t="s">
        <v>383</v>
      </c>
      <c r="B1396" s="13">
        <v>42243.32013888889</v>
      </c>
      <c r="C1396" s="14">
        <v>69.5</v>
      </c>
      <c r="D1396" s="15">
        <v>570</v>
      </c>
      <c r="E1396" s="15">
        <f t="shared" si="241"/>
        <v>39626</v>
      </c>
      <c r="F1396" s="13"/>
      <c r="G1396" s="14">
        <v>75.2</v>
      </c>
      <c r="H1396" s="15">
        <f t="shared" si="242"/>
        <v>42864</v>
      </c>
      <c r="I1396" s="16">
        <f t="shared" si="243"/>
        <v>3238</v>
      </c>
      <c r="J1396" s="19">
        <f t="shared" si="244"/>
        <v>0.08171402614445061</v>
      </c>
      <c r="K1396" s="95" t="s">
        <v>385</v>
      </c>
      <c r="L1396" s="119">
        <v>69.13</v>
      </c>
      <c r="M1396" s="41">
        <f t="shared" si="245"/>
        <v>64.635</v>
      </c>
      <c r="N1396" s="117">
        <v>89.5</v>
      </c>
      <c r="P1396" s="116" t="s">
        <v>383</v>
      </c>
      <c r="Q1396" s="117"/>
      <c r="R1396" s="117"/>
      <c r="S1396" s="117"/>
      <c r="T1396" s="116"/>
    </row>
    <row r="1397" spans="1:20" s="114" customFormat="1" ht="15">
      <c r="A1397" s="12" t="s">
        <v>383</v>
      </c>
      <c r="B1397" s="13">
        <v>42282.29236111111</v>
      </c>
      <c r="C1397" s="14">
        <v>73.5</v>
      </c>
      <c r="D1397" s="15">
        <v>620</v>
      </c>
      <c r="E1397" s="15">
        <f t="shared" si="241"/>
        <v>45581</v>
      </c>
      <c r="F1397" s="13"/>
      <c r="G1397" s="14">
        <v>75.2</v>
      </c>
      <c r="H1397" s="15">
        <f t="shared" si="242"/>
        <v>46624</v>
      </c>
      <c r="I1397" s="16">
        <f t="shared" si="243"/>
        <v>1043</v>
      </c>
      <c r="J1397" s="19">
        <f t="shared" si="244"/>
        <v>0.022882341326429873</v>
      </c>
      <c r="K1397" s="95" t="s">
        <v>446</v>
      </c>
      <c r="L1397" s="119">
        <v>69.13</v>
      </c>
      <c r="M1397" s="41">
        <f t="shared" si="245"/>
        <v>68.355</v>
      </c>
      <c r="N1397" s="117">
        <v>89.5</v>
      </c>
      <c r="P1397" s="116" t="s">
        <v>383</v>
      </c>
      <c r="Q1397" s="117"/>
      <c r="R1397" s="117"/>
      <c r="S1397" s="117"/>
      <c r="T1397" s="116"/>
    </row>
    <row r="1398" spans="1:20" s="114" customFormat="1" ht="15">
      <c r="A1398" s="12" t="s">
        <v>388</v>
      </c>
      <c r="B1398" s="13">
        <v>42244.365277777775</v>
      </c>
      <c r="C1398" s="14">
        <v>139.5</v>
      </c>
      <c r="D1398" s="15">
        <v>720</v>
      </c>
      <c r="E1398" s="15">
        <f t="shared" si="241"/>
        <v>100451</v>
      </c>
      <c r="F1398" s="13"/>
      <c r="G1398" s="14">
        <v>171.16</v>
      </c>
      <c r="H1398" s="15">
        <f t="shared" si="242"/>
        <v>123235.2</v>
      </c>
      <c r="I1398" s="16">
        <f t="shared" si="243"/>
        <v>22784.199999999997</v>
      </c>
      <c r="J1398" s="19">
        <f t="shared" si="244"/>
        <v>0.2268190461020796</v>
      </c>
      <c r="K1398" s="95" t="s">
        <v>387</v>
      </c>
      <c r="L1398" s="119">
        <v>148.05</v>
      </c>
      <c r="M1398" s="41">
        <f t="shared" si="245"/>
        <v>129.735</v>
      </c>
      <c r="N1398" s="117">
        <v>179.43</v>
      </c>
      <c r="O1398" s="121">
        <v>42313</v>
      </c>
      <c r="P1398" s="116" t="s">
        <v>388</v>
      </c>
      <c r="Q1398" s="117">
        <v>173.16</v>
      </c>
      <c r="R1398" s="118">
        <f>Q1398*0.855</f>
        <v>148.0518</v>
      </c>
      <c r="S1398" s="117">
        <f>1.11*C1398</f>
        <v>154.84500000000003</v>
      </c>
      <c r="T1398" s="116"/>
    </row>
    <row r="1399" spans="1:20" s="114" customFormat="1" ht="15">
      <c r="A1399" s="12" t="s">
        <v>388</v>
      </c>
      <c r="B1399" s="13">
        <v>42255.47430555556</v>
      </c>
      <c r="C1399" s="14">
        <v>141.06</v>
      </c>
      <c r="D1399" s="15">
        <v>430</v>
      </c>
      <c r="E1399" s="15">
        <f t="shared" si="241"/>
        <v>60666.8</v>
      </c>
      <c r="F1399" s="13"/>
      <c r="G1399" s="14">
        <v>171.16</v>
      </c>
      <c r="H1399" s="15">
        <f t="shared" si="242"/>
        <v>73598.8</v>
      </c>
      <c r="I1399" s="16">
        <f t="shared" si="243"/>
        <v>12932</v>
      </c>
      <c r="J1399" s="19">
        <f t="shared" si="244"/>
        <v>0.2131643666717216</v>
      </c>
      <c r="K1399" s="95" t="s">
        <v>394</v>
      </c>
      <c r="L1399" s="119">
        <v>148.05</v>
      </c>
      <c r="M1399" s="41">
        <f t="shared" si="245"/>
        <v>131.1858</v>
      </c>
      <c r="N1399" s="117">
        <v>179.43</v>
      </c>
      <c r="O1399" s="113"/>
      <c r="P1399" s="116" t="s">
        <v>388</v>
      </c>
      <c r="Q1399" s="117"/>
      <c r="R1399" s="118"/>
      <c r="S1399" s="117"/>
      <c r="T1399" s="116"/>
    </row>
    <row r="1400" spans="1:20" s="114" customFormat="1" ht="15">
      <c r="A1400" s="12" t="s">
        <v>388</v>
      </c>
      <c r="B1400" s="13">
        <v>42257.325</v>
      </c>
      <c r="C1400" s="14">
        <v>143.71</v>
      </c>
      <c r="D1400" s="15">
        <v>280</v>
      </c>
      <c r="E1400" s="15">
        <f t="shared" si="241"/>
        <v>40249.8</v>
      </c>
      <c r="F1400" s="13"/>
      <c r="G1400" s="14">
        <v>171.16</v>
      </c>
      <c r="H1400" s="15">
        <f t="shared" si="242"/>
        <v>47924.799999999996</v>
      </c>
      <c r="I1400" s="16">
        <f t="shared" si="243"/>
        <v>7674.999999999993</v>
      </c>
      <c r="J1400" s="19">
        <f t="shared" si="244"/>
        <v>0.1906841773126821</v>
      </c>
      <c r="K1400" s="95" t="s">
        <v>395</v>
      </c>
      <c r="L1400" s="119">
        <v>148.05</v>
      </c>
      <c r="M1400" s="41">
        <f t="shared" si="245"/>
        <v>133.65030000000002</v>
      </c>
      <c r="N1400" s="117">
        <v>179.43</v>
      </c>
      <c r="O1400" s="113"/>
      <c r="P1400" s="116" t="s">
        <v>388</v>
      </c>
      <c r="Q1400" s="117"/>
      <c r="R1400" s="118"/>
      <c r="S1400" s="117"/>
      <c r="T1400" s="116"/>
    </row>
    <row r="1401" spans="1:20" s="114" customFormat="1" ht="15">
      <c r="A1401" s="12" t="s">
        <v>388</v>
      </c>
      <c r="B1401" s="13">
        <v>42278.46111111111</v>
      </c>
      <c r="C1401" s="14">
        <v>161.21</v>
      </c>
      <c r="D1401" s="15">
        <v>290</v>
      </c>
      <c r="E1401" s="15">
        <f t="shared" si="241"/>
        <v>46761.9</v>
      </c>
      <c r="F1401" s="13"/>
      <c r="G1401" s="14">
        <v>171.16</v>
      </c>
      <c r="H1401" s="15">
        <f t="shared" si="242"/>
        <v>49636.4</v>
      </c>
      <c r="I1401" s="16">
        <f t="shared" si="243"/>
        <v>2874.5</v>
      </c>
      <c r="J1401" s="19">
        <f t="shared" si="244"/>
        <v>0.061470983856515664</v>
      </c>
      <c r="K1401" s="95" t="s">
        <v>435</v>
      </c>
      <c r="L1401" s="119"/>
      <c r="M1401" s="20">
        <f t="shared" si="245"/>
        <v>149.92530000000002</v>
      </c>
      <c r="N1401" s="117">
        <v>179.43</v>
      </c>
      <c r="O1401" s="113"/>
      <c r="P1401" s="116" t="s">
        <v>388</v>
      </c>
      <c r="Q1401" s="117"/>
      <c r="R1401" s="118"/>
      <c r="S1401" s="117"/>
      <c r="T1401" s="116"/>
    </row>
    <row r="1402" spans="1:20" s="114" customFormat="1" ht="15">
      <c r="A1402" s="85" t="s">
        <v>388</v>
      </c>
      <c r="B1402" s="13">
        <v>42292.538194444445</v>
      </c>
      <c r="C1402" s="14">
        <v>170.78</v>
      </c>
      <c r="D1402" s="15">
        <v>350</v>
      </c>
      <c r="E1402" s="15">
        <f t="shared" si="241"/>
        <v>59784</v>
      </c>
      <c r="F1402" s="13"/>
      <c r="G1402" s="14">
        <v>171.16</v>
      </c>
      <c r="H1402" s="15">
        <f t="shared" si="242"/>
        <v>59906</v>
      </c>
      <c r="I1402" s="16">
        <f t="shared" si="243"/>
        <v>122</v>
      </c>
      <c r="J1402" s="19">
        <f t="shared" si="244"/>
        <v>0.002040679780543289</v>
      </c>
      <c r="K1402" s="95" t="s">
        <v>447</v>
      </c>
      <c r="L1402" s="119"/>
      <c r="M1402" s="20">
        <f t="shared" si="245"/>
        <v>158.8254</v>
      </c>
      <c r="N1402" s="117">
        <v>179.43</v>
      </c>
      <c r="O1402" s="113"/>
      <c r="P1402" s="116" t="s">
        <v>388</v>
      </c>
      <c r="Q1402" s="117"/>
      <c r="R1402" s="118"/>
      <c r="S1402" s="117"/>
      <c r="T1402" s="116"/>
    </row>
    <row r="1403" spans="1:20" s="114" customFormat="1" ht="15">
      <c r="A1403" s="12" t="s">
        <v>406</v>
      </c>
      <c r="B1403" s="13">
        <v>42262.37986111111</v>
      </c>
      <c r="C1403" s="14">
        <v>71.51</v>
      </c>
      <c r="D1403" s="15">
        <v>1400</v>
      </c>
      <c r="E1403" s="15">
        <f t="shared" si="241"/>
        <v>100125</v>
      </c>
      <c r="F1403" s="13"/>
      <c r="G1403" s="14">
        <v>78.77</v>
      </c>
      <c r="H1403" s="15">
        <f t="shared" si="242"/>
        <v>110278</v>
      </c>
      <c r="I1403" s="16">
        <f t="shared" si="243"/>
        <v>10153</v>
      </c>
      <c r="J1403" s="19">
        <f t="shared" si="244"/>
        <v>0.10140324594257179</v>
      </c>
      <c r="K1403" s="95" t="s">
        <v>417</v>
      </c>
      <c r="L1403" s="119"/>
      <c r="M1403" s="20">
        <f t="shared" si="245"/>
        <v>66.50430000000001</v>
      </c>
      <c r="N1403" s="117">
        <v>93.15</v>
      </c>
      <c r="O1403" s="121">
        <v>42339</v>
      </c>
      <c r="P1403" s="116" t="s">
        <v>406</v>
      </c>
      <c r="Q1403" s="117">
        <v>78.84</v>
      </c>
      <c r="R1403" s="118"/>
      <c r="S1403" s="117">
        <f>1.11*C1403</f>
        <v>79.37610000000001</v>
      </c>
      <c r="T1403" s="116"/>
    </row>
    <row r="1404" spans="1:20" s="114" customFormat="1" ht="15">
      <c r="A1404" s="12" t="s">
        <v>406</v>
      </c>
      <c r="B1404" s="13">
        <v>42272.38680555556</v>
      </c>
      <c r="C1404" s="14">
        <v>73.36</v>
      </c>
      <c r="D1404" s="15">
        <v>820</v>
      </c>
      <c r="E1404" s="15">
        <f t="shared" si="241"/>
        <v>60166.2</v>
      </c>
      <c r="F1404" s="13"/>
      <c r="G1404" s="14">
        <v>78.77</v>
      </c>
      <c r="H1404" s="15">
        <f t="shared" si="242"/>
        <v>64591.399999999994</v>
      </c>
      <c r="I1404" s="16">
        <f t="shared" si="243"/>
        <v>4425.199999999997</v>
      </c>
      <c r="J1404" s="19">
        <f t="shared" si="244"/>
        <v>0.073549600938733</v>
      </c>
      <c r="K1404" s="95" t="s">
        <v>426</v>
      </c>
      <c r="L1404" s="119"/>
      <c r="M1404" s="20">
        <f t="shared" si="245"/>
        <v>68.2248</v>
      </c>
      <c r="N1404" s="117">
        <v>93.15</v>
      </c>
      <c r="O1404" s="87"/>
      <c r="P1404" s="116" t="s">
        <v>406</v>
      </c>
      <c r="Q1404" s="117"/>
      <c r="R1404" s="118"/>
      <c r="S1404" s="117"/>
      <c r="T1404" s="116"/>
    </row>
    <row r="1405" spans="1:20" s="114" customFormat="1" ht="15">
      <c r="A1405" s="12" t="s">
        <v>406</v>
      </c>
      <c r="B1405" s="13">
        <v>42279.53611111111</v>
      </c>
      <c r="C1405" s="14">
        <v>73.86</v>
      </c>
      <c r="D1405" s="15">
        <v>550</v>
      </c>
      <c r="E1405" s="15">
        <f t="shared" si="241"/>
        <v>40634</v>
      </c>
      <c r="F1405" s="13"/>
      <c r="G1405" s="14">
        <v>78.77</v>
      </c>
      <c r="H1405" s="15">
        <f t="shared" si="242"/>
        <v>43323.5</v>
      </c>
      <c r="I1405" s="16">
        <f t="shared" si="243"/>
        <v>2689.5</v>
      </c>
      <c r="J1405" s="19">
        <f t="shared" si="244"/>
        <v>0.06618841364374661</v>
      </c>
      <c r="K1405" s="95" t="s">
        <v>425</v>
      </c>
      <c r="L1405" s="119"/>
      <c r="M1405" s="20">
        <f t="shared" si="245"/>
        <v>68.6898</v>
      </c>
      <c r="N1405" s="117">
        <v>93.15</v>
      </c>
      <c r="O1405" s="87"/>
      <c r="P1405" s="116" t="s">
        <v>406</v>
      </c>
      <c r="Q1405" s="117"/>
      <c r="R1405" s="118"/>
      <c r="S1405" s="117"/>
      <c r="T1405" s="116"/>
    </row>
    <row r="1406" spans="1:20" s="114" customFormat="1" ht="15">
      <c r="A1406" s="12" t="s">
        <v>73</v>
      </c>
      <c r="B1406" s="13">
        <v>42277.27777777778</v>
      </c>
      <c r="C1406" s="14">
        <v>28.8</v>
      </c>
      <c r="D1406" s="15">
        <v>3500</v>
      </c>
      <c r="E1406" s="15">
        <f t="shared" si="241"/>
        <v>100811</v>
      </c>
      <c r="F1406" s="13"/>
      <c r="G1406" s="14">
        <v>34.75</v>
      </c>
      <c r="H1406" s="15">
        <f t="shared" si="242"/>
        <v>121625</v>
      </c>
      <c r="I1406" s="16">
        <f t="shared" si="243"/>
        <v>20814</v>
      </c>
      <c r="J1406" s="19">
        <f t="shared" si="244"/>
        <v>0.20646556427373997</v>
      </c>
      <c r="K1406" s="95" t="s">
        <v>427</v>
      </c>
      <c r="L1406" s="119">
        <v>30.57</v>
      </c>
      <c r="M1406" s="41">
        <f t="shared" si="245"/>
        <v>26.784000000000002</v>
      </c>
      <c r="N1406" s="117">
        <v>36.2</v>
      </c>
      <c r="O1406" s="121">
        <v>42333</v>
      </c>
      <c r="P1406" s="116" t="s">
        <v>73</v>
      </c>
      <c r="Q1406" s="117">
        <v>35.76</v>
      </c>
      <c r="R1406" s="118">
        <f>Q1406*0.855</f>
        <v>30.574799999999996</v>
      </c>
      <c r="S1406" s="117">
        <f>1.11*C1406</f>
        <v>31.968000000000004</v>
      </c>
      <c r="T1406" s="116"/>
    </row>
    <row r="1407" spans="1:20" s="114" customFormat="1" ht="15">
      <c r="A1407" s="12" t="s">
        <v>73</v>
      </c>
      <c r="B1407" s="13">
        <v>42277.30972222222</v>
      </c>
      <c r="C1407" s="14">
        <v>29.12</v>
      </c>
      <c r="D1407" s="15">
        <v>2100</v>
      </c>
      <c r="E1407" s="15">
        <f t="shared" si="241"/>
        <v>61163</v>
      </c>
      <c r="F1407" s="13"/>
      <c r="G1407" s="14">
        <v>34.75</v>
      </c>
      <c r="H1407" s="15">
        <f t="shared" si="242"/>
        <v>72975</v>
      </c>
      <c r="I1407" s="16">
        <f t="shared" si="243"/>
        <v>11812</v>
      </c>
      <c r="J1407" s="19">
        <f t="shared" si="244"/>
        <v>0.1931232934944329</v>
      </c>
      <c r="K1407" s="95" t="s">
        <v>428</v>
      </c>
      <c r="L1407" s="119">
        <v>30.57</v>
      </c>
      <c r="M1407" s="41">
        <f t="shared" si="245"/>
        <v>27.0816</v>
      </c>
      <c r="N1407" s="117">
        <v>36.2</v>
      </c>
      <c r="O1407" s="87"/>
      <c r="P1407" s="116" t="s">
        <v>73</v>
      </c>
      <c r="Q1407" s="117"/>
      <c r="R1407" s="118"/>
      <c r="S1407" s="117"/>
      <c r="T1407" s="116"/>
    </row>
    <row r="1408" spans="1:20" s="114" customFormat="1" ht="15">
      <c r="A1408" s="12" t="s">
        <v>73</v>
      </c>
      <c r="B1408" s="13">
        <v>42277.34652777778</v>
      </c>
      <c r="C1408" s="14">
        <v>29.74</v>
      </c>
      <c r="D1408" s="15">
        <v>1350</v>
      </c>
      <c r="E1408" s="15">
        <f t="shared" si="241"/>
        <v>40160</v>
      </c>
      <c r="F1408" s="13"/>
      <c r="G1408" s="14">
        <v>34.75</v>
      </c>
      <c r="H1408" s="15">
        <f t="shared" si="242"/>
        <v>46912.5</v>
      </c>
      <c r="I1408" s="16">
        <f t="shared" si="243"/>
        <v>6752.5</v>
      </c>
      <c r="J1408" s="19">
        <f t="shared" si="244"/>
        <v>0.16813994023904383</v>
      </c>
      <c r="K1408" s="95" t="s">
        <v>429</v>
      </c>
      <c r="L1408" s="119">
        <v>30.57</v>
      </c>
      <c r="M1408" s="41">
        <f t="shared" si="245"/>
        <v>27.6582</v>
      </c>
      <c r="N1408" s="117">
        <v>36.2</v>
      </c>
      <c r="O1408" s="87"/>
      <c r="P1408" s="116" t="s">
        <v>73</v>
      </c>
      <c r="Q1408" s="117"/>
      <c r="R1408" s="118"/>
      <c r="S1408" s="117"/>
      <c r="T1408" s="116"/>
    </row>
    <row r="1409" spans="1:20" s="114" customFormat="1" ht="15">
      <c r="A1409" s="12" t="s">
        <v>63</v>
      </c>
      <c r="B1409" s="13">
        <v>42279.495833333334</v>
      </c>
      <c r="C1409" s="14">
        <v>24.24</v>
      </c>
      <c r="D1409" s="15">
        <v>4150</v>
      </c>
      <c r="E1409" s="15">
        <f t="shared" si="241"/>
        <v>100607</v>
      </c>
      <c r="F1409" s="13"/>
      <c r="G1409" s="14">
        <v>28.75</v>
      </c>
      <c r="H1409" s="15">
        <f t="shared" si="242"/>
        <v>119312.5</v>
      </c>
      <c r="I1409" s="16">
        <f t="shared" si="243"/>
        <v>18705.5</v>
      </c>
      <c r="J1409" s="19">
        <f t="shared" si="244"/>
        <v>0.18592642659059508</v>
      </c>
      <c r="K1409" s="95" t="s">
        <v>439</v>
      </c>
      <c r="L1409" s="119">
        <v>24.85</v>
      </c>
      <c r="M1409" s="41">
        <f t="shared" si="245"/>
        <v>22.5432</v>
      </c>
      <c r="N1409" s="117">
        <v>31.93</v>
      </c>
      <c r="O1409" s="121">
        <v>42339</v>
      </c>
      <c r="P1409" s="116" t="s">
        <v>63</v>
      </c>
      <c r="Q1409" s="117">
        <v>29.07</v>
      </c>
      <c r="R1409" s="118">
        <f>Q1409*0.855</f>
        <v>24.85485</v>
      </c>
      <c r="S1409" s="117">
        <f>1.11*C1409</f>
        <v>26.9064</v>
      </c>
      <c r="T1409" s="116"/>
    </row>
    <row r="1410" spans="1:20" s="114" customFormat="1" ht="15">
      <c r="A1410" s="12" t="s">
        <v>63</v>
      </c>
      <c r="B1410" s="13">
        <v>42282.274305555555</v>
      </c>
      <c r="C1410" s="14">
        <v>24.95</v>
      </c>
      <c r="D1410" s="15">
        <v>2400</v>
      </c>
      <c r="E1410" s="15">
        <f t="shared" si="241"/>
        <v>59891</v>
      </c>
      <c r="F1410" s="13"/>
      <c r="G1410" s="14">
        <v>28.75</v>
      </c>
      <c r="H1410" s="15">
        <f t="shared" si="242"/>
        <v>69000</v>
      </c>
      <c r="I1410" s="16">
        <f t="shared" si="243"/>
        <v>9109</v>
      </c>
      <c r="J1410" s="19">
        <f t="shared" si="244"/>
        <v>0.15209296889348983</v>
      </c>
      <c r="K1410" s="95" t="s">
        <v>437</v>
      </c>
      <c r="L1410" s="119">
        <v>24.85</v>
      </c>
      <c r="M1410" s="41">
        <f t="shared" si="245"/>
        <v>23.203500000000002</v>
      </c>
      <c r="N1410" s="117">
        <v>31.93</v>
      </c>
      <c r="O1410" s="87"/>
      <c r="P1410" s="116" t="s">
        <v>63</v>
      </c>
      <c r="Q1410" s="117"/>
      <c r="R1410" s="118"/>
      <c r="S1410" s="117"/>
      <c r="T1410" s="116"/>
    </row>
    <row r="1411" spans="1:20" s="114" customFormat="1" ht="15">
      <c r="A1411" s="12" t="s">
        <v>63</v>
      </c>
      <c r="B1411" s="13">
        <v>42282.41111111111</v>
      </c>
      <c r="C1411" s="14">
        <v>25.39</v>
      </c>
      <c r="D1411" s="15">
        <v>1600</v>
      </c>
      <c r="E1411" s="15">
        <f t="shared" si="241"/>
        <v>40635</v>
      </c>
      <c r="F1411" s="13"/>
      <c r="G1411" s="14">
        <v>28.75</v>
      </c>
      <c r="H1411" s="15">
        <f t="shared" si="242"/>
        <v>46000</v>
      </c>
      <c r="I1411" s="16">
        <f t="shared" si="243"/>
        <v>5365</v>
      </c>
      <c r="J1411" s="19">
        <f t="shared" si="244"/>
        <v>0.1320290390057832</v>
      </c>
      <c r="K1411" s="95" t="s">
        <v>438</v>
      </c>
      <c r="L1411" s="119">
        <v>24.85</v>
      </c>
      <c r="M1411" s="41">
        <f t="shared" si="245"/>
        <v>23.6127</v>
      </c>
      <c r="N1411" s="117">
        <v>31.93</v>
      </c>
      <c r="O1411" s="87"/>
      <c r="P1411" s="116" t="s">
        <v>63</v>
      </c>
      <c r="Q1411" s="117"/>
      <c r="R1411" s="118"/>
      <c r="S1411" s="117"/>
      <c r="T1411" s="116"/>
    </row>
    <row r="1412" spans="1:20" s="114" customFormat="1" ht="15">
      <c r="A1412" s="12" t="s">
        <v>418</v>
      </c>
      <c r="B1412" s="13">
        <v>42279.50763888889</v>
      </c>
      <c r="C1412" s="14">
        <v>20.86</v>
      </c>
      <c r="D1412" s="15">
        <v>4800</v>
      </c>
      <c r="E1412" s="15">
        <f t="shared" si="241"/>
        <v>100139</v>
      </c>
      <c r="F1412" s="13"/>
      <c r="G1412" s="14">
        <v>23.19</v>
      </c>
      <c r="H1412" s="15">
        <f t="shared" si="242"/>
        <v>111312</v>
      </c>
      <c r="I1412" s="16">
        <f t="shared" si="243"/>
        <v>11173</v>
      </c>
      <c r="J1412" s="19">
        <f t="shared" si="244"/>
        <v>0.1115749108738853</v>
      </c>
      <c r="K1412" s="95" t="s">
        <v>430</v>
      </c>
      <c r="L1412" s="119">
        <v>19.93</v>
      </c>
      <c r="M1412" s="41">
        <f t="shared" si="245"/>
        <v>19.3998</v>
      </c>
      <c r="N1412" s="117">
        <v>25.86</v>
      </c>
      <c r="O1412" s="121">
        <v>42338</v>
      </c>
      <c r="P1412" s="116" t="s">
        <v>418</v>
      </c>
      <c r="Q1412" s="117">
        <v>23.31</v>
      </c>
      <c r="R1412" s="118">
        <f>Q1412*0.855</f>
        <v>19.930049999999998</v>
      </c>
      <c r="S1412" s="117">
        <f>1.11*C1412</f>
        <v>23.154600000000002</v>
      </c>
      <c r="T1412" s="116"/>
    </row>
    <row r="1413" spans="1:20" s="114" customFormat="1" ht="15">
      <c r="A1413" s="12" t="s">
        <v>418</v>
      </c>
      <c r="B1413" s="13">
        <v>42283.475</v>
      </c>
      <c r="C1413" s="14">
        <v>21.31</v>
      </c>
      <c r="D1413" s="15">
        <v>2820</v>
      </c>
      <c r="E1413" s="15">
        <f t="shared" si="241"/>
        <v>60105.2</v>
      </c>
      <c r="F1413" s="13"/>
      <c r="G1413" s="14">
        <v>23.19</v>
      </c>
      <c r="H1413" s="15">
        <f t="shared" si="242"/>
        <v>65395.8</v>
      </c>
      <c r="I1413" s="16">
        <f t="shared" si="243"/>
        <v>5290.600000000006</v>
      </c>
      <c r="J1413" s="19">
        <f t="shared" si="244"/>
        <v>0.08802233417408155</v>
      </c>
      <c r="K1413" s="95" t="s">
        <v>440</v>
      </c>
      <c r="L1413" s="119">
        <v>19.93</v>
      </c>
      <c r="M1413" s="41">
        <f t="shared" si="245"/>
        <v>19.8183</v>
      </c>
      <c r="N1413" s="117">
        <v>25.86</v>
      </c>
      <c r="O1413" s="87"/>
      <c r="P1413" s="116" t="s">
        <v>418</v>
      </c>
      <c r="Q1413" s="117"/>
      <c r="R1413" s="118"/>
      <c r="S1413" s="117"/>
      <c r="T1413" s="116"/>
    </row>
    <row r="1414" spans="1:20" s="114" customFormat="1" ht="15">
      <c r="A1414" s="85" t="s">
        <v>418</v>
      </c>
      <c r="B1414" s="13">
        <v>42290.29583333333</v>
      </c>
      <c r="C1414" s="14">
        <v>21.78</v>
      </c>
      <c r="D1414" s="15">
        <v>1850</v>
      </c>
      <c r="E1414" s="15">
        <f t="shared" si="241"/>
        <v>40304</v>
      </c>
      <c r="F1414" s="13"/>
      <c r="G1414" s="14">
        <v>23.19</v>
      </c>
      <c r="H1414" s="15">
        <f t="shared" si="242"/>
        <v>42901.5</v>
      </c>
      <c r="I1414" s="16">
        <f t="shared" si="243"/>
        <v>2597.5</v>
      </c>
      <c r="J1414" s="19">
        <f t="shared" si="244"/>
        <v>0.06444769749900754</v>
      </c>
      <c r="K1414" s="95" t="s">
        <v>443</v>
      </c>
      <c r="L1414" s="119"/>
      <c r="M1414" s="20">
        <f t="shared" si="245"/>
        <v>20.2554</v>
      </c>
      <c r="N1414" s="117">
        <v>25.86</v>
      </c>
      <c r="O1414" s="87"/>
      <c r="P1414" s="116" t="s">
        <v>418</v>
      </c>
      <c r="Q1414" s="117"/>
      <c r="R1414" s="118"/>
      <c r="S1414" s="117"/>
      <c r="T1414" s="116"/>
    </row>
    <row r="1415" spans="1:20" s="114" customFormat="1" ht="15">
      <c r="A1415" s="12" t="s">
        <v>433</v>
      </c>
      <c r="B1415" s="13">
        <v>42279.53611111111</v>
      </c>
      <c r="C1415" s="14">
        <v>182.34</v>
      </c>
      <c r="D1415" s="15">
        <v>550</v>
      </c>
      <c r="E1415" s="15">
        <f t="shared" si="241"/>
        <v>100298</v>
      </c>
      <c r="F1415" s="13"/>
      <c r="G1415" s="14">
        <v>192.31</v>
      </c>
      <c r="H1415" s="15">
        <f t="shared" si="242"/>
        <v>105770.5</v>
      </c>
      <c r="I1415" s="16">
        <f t="shared" si="243"/>
        <v>5472.5</v>
      </c>
      <c r="J1415" s="19">
        <f t="shared" si="244"/>
        <v>0.0545624040359728</v>
      </c>
      <c r="K1415" s="95" t="s">
        <v>457</v>
      </c>
      <c r="L1415" s="119"/>
      <c r="M1415" s="20">
        <f t="shared" si="245"/>
        <v>169.5762</v>
      </c>
      <c r="N1415" s="117">
        <v>232.76</v>
      </c>
      <c r="O1415" s="121">
        <v>42341</v>
      </c>
      <c r="P1415" s="116" t="s">
        <v>433</v>
      </c>
      <c r="Q1415" s="117">
        <v>194.24</v>
      </c>
      <c r="R1415" s="118"/>
      <c r="S1415" s="117">
        <f>1.11*C1415</f>
        <v>202.39740000000003</v>
      </c>
      <c r="T1415" s="116"/>
    </row>
    <row r="1416" spans="1:20" s="114" customFormat="1" ht="15">
      <c r="A1416" s="12"/>
      <c r="B1416" s="13"/>
      <c r="C1416" s="14"/>
      <c r="D1416" s="15"/>
      <c r="E1416" s="15"/>
      <c r="G1416" s="14"/>
      <c r="H1416" s="15"/>
      <c r="I1416" s="16"/>
      <c r="J1416" s="19"/>
      <c r="K1416" s="95"/>
      <c r="L1416" s="119"/>
      <c r="M1416" s="32"/>
      <c r="N1416" s="117"/>
      <c r="P1416" s="116"/>
      <c r="Q1416" s="117"/>
      <c r="R1416" s="117"/>
      <c r="S1416" s="117"/>
      <c r="T1416" s="116"/>
    </row>
    <row r="1417" spans="1:33" s="114" customFormat="1" ht="15">
      <c r="A1417" s="21" t="s">
        <v>14</v>
      </c>
      <c r="B1417" s="22"/>
      <c r="C1417" s="23"/>
      <c r="D1417" s="24"/>
      <c r="E1417" s="24">
        <f>SUM(E1394:E1416)</f>
        <v>1462727.9</v>
      </c>
      <c r="F1417" s="13"/>
      <c r="G1417" s="23"/>
      <c r="H1417" s="24">
        <f>SUM(H1394:H1416)</f>
        <v>1651186.9000000001</v>
      </c>
      <c r="I1417" s="25">
        <f>SUM(I1394:I1416)</f>
        <v>188458.99999999997</v>
      </c>
      <c r="J1417" s="26">
        <f>I1417/E1417</f>
        <v>0.1288407775636193</v>
      </c>
      <c r="K1417" s="27" t="s">
        <v>15</v>
      </c>
      <c r="L1417" s="28">
        <f>100000+I1419</f>
        <v>739055.21</v>
      </c>
      <c r="M1417" s="81"/>
      <c r="N1417" s="89"/>
      <c r="Q1417" s="117"/>
      <c r="R1417" s="117"/>
      <c r="S1417" s="117"/>
      <c r="T1417" s="116"/>
      <c r="X1417" s="114" t="s">
        <v>371</v>
      </c>
      <c r="Z1417" s="114" t="s">
        <v>17</v>
      </c>
      <c r="AC1417" s="114" t="s">
        <v>372</v>
      </c>
      <c r="AE1417" s="114" t="s">
        <v>373</v>
      </c>
      <c r="AG1417" s="114" t="s">
        <v>374</v>
      </c>
    </row>
    <row r="1418" spans="1:33" s="114" customFormat="1" ht="15">
      <c r="A1418" s="12" t="s">
        <v>67</v>
      </c>
      <c r="B1418" s="22"/>
      <c r="C1418" s="25">
        <f>I1419-I1389</f>
        <v>56680.19999999995</v>
      </c>
      <c r="D1418" s="26">
        <f>C1418/H1387</f>
        <v>0.03792792475094159</v>
      </c>
      <c r="E1418" s="24"/>
      <c r="F1418" s="22" t="s">
        <v>16</v>
      </c>
      <c r="G1418" s="117"/>
      <c r="H1418" s="29" t="str">
        <f>IF(ABS(H1417-E1417-I1417)&lt;1,"","ERROR")</f>
        <v/>
      </c>
      <c r="I1418" s="45">
        <v>450596.20999999996</v>
      </c>
      <c r="J1418" s="26"/>
      <c r="K1418" s="111" t="s">
        <v>17</v>
      </c>
      <c r="L1418" s="28">
        <f>(2*(100000+I1419))-E1417</f>
        <v>15382.520000000019</v>
      </c>
      <c r="M1418" s="31"/>
      <c r="Q1418" s="117"/>
      <c r="R1418" s="117"/>
      <c r="S1418" s="117"/>
      <c r="T1418" s="116"/>
      <c r="X1418" s="29" t="e">
        <f>E1417-#REF!-#REF!-#REF!</f>
        <v>#REF!</v>
      </c>
      <c r="Z1418" s="29">
        <f>E1417+L1418</f>
        <v>1478110.42</v>
      </c>
      <c r="AC1418" s="29" t="e">
        <f>#REF!+#REF!+#REF!</f>
        <v>#REF!</v>
      </c>
      <c r="AE1418" s="29" t="e">
        <f>X1418-AC1418</f>
        <v>#REF!</v>
      </c>
      <c r="AG1418" s="155" t="e">
        <f>AE1418/Z1418</f>
        <v>#REF!</v>
      </c>
    </row>
    <row r="1419" spans="1:20" s="114" customFormat="1" ht="15">
      <c r="A1419" s="12" t="s">
        <v>54</v>
      </c>
      <c r="B1419" s="22"/>
      <c r="C1419" s="25">
        <f>L1417-L1387</f>
        <v>56680.19999999995</v>
      </c>
      <c r="D1419" s="26">
        <f>C1419/L1387</f>
        <v>0.08306312389722471</v>
      </c>
      <c r="E1419" s="24"/>
      <c r="F1419" s="22" t="s">
        <v>18</v>
      </c>
      <c r="G1419" s="117"/>
      <c r="H1419" s="29"/>
      <c r="I1419" s="30">
        <f>I1417+I1418</f>
        <v>639055.21</v>
      </c>
      <c r="J1419" s="26">
        <f>I1419/100000</f>
        <v>6.3905521</v>
      </c>
      <c r="K1419" s="111" t="s">
        <v>19</v>
      </c>
      <c r="L1419" s="26">
        <f>E1417/(2*(100000+I1419))</f>
        <v>0.989593118489754</v>
      </c>
      <c r="M1419" s="31"/>
      <c r="Q1419" s="117"/>
      <c r="R1419" s="117"/>
      <c r="S1419" s="117"/>
      <c r="T1419" s="116"/>
    </row>
    <row r="1420" spans="1:20" s="114" customFormat="1" ht="15">
      <c r="A1420" s="114">
        <v>7</v>
      </c>
      <c r="B1420" s="22"/>
      <c r="C1420" s="25"/>
      <c r="D1420" s="26"/>
      <c r="E1420" s="24"/>
      <c r="G1420" s="117"/>
      <c r="H1420" s="29"/>
      <c r="I1420" s="30"/>
      <c r="J1420" s="26"/>
      <c r="K1420" s="111"/>
      <c r="L1420" s="26"/>
      <c r="M1420" s="31"/>
      <c r="Q1420" s="117"/>
      <c r="R1420" s="117"/>
      <c r="S1420" s="117"/>
      <c r="T1420" s="116"/>
    </row>
    <row r="1421" spans="2:20" s="114" customFormat="1" ht="15">
      <c r="B1421" s="22"/>
      <c r="C1421" s="25"/>
      <c r="D1421" s="26"/>
      <c r="E1421" s="24"/>
      <c r="F1421" s="22"/>
      <c r="G1421" s="117"/>
      <c r="H1421" s="29"/>
      <c r="I1421" s="30"/>
      <c r="J1421" s="26"/>
      <c r="K1421" s="111"/>
      <c r="L1421" s="26"/>
      <c r="M1421" s="31"/>
      <c r="Q1421" s="117"/>
      <c r="R1421" s="117"/>
      <c r="S1421" s="117"/>
      <c r="T1421" s="116"/>
    </row>
    <row r="1422" spans="1:20" s="114" customFormat="1" ht="30.75" customHeight="1">
      <c r="A1422" s="108" t="s">
        <v>56</v>
      </c>
      <c r="B1422" s="384" t="s">
        <v>445</v>
      </c>
      <c r="C1422" s="384"/>
      <c r="D1422" s="384"/>
      <c r="E1422" s="384"/>
      <c r="F1422" s="384"/>
      <c r="G1422" s="384"/>
      <c r="H1422" s="384"/>
      <c r="I1422" s="384"/>
      <c r="J1422" s="384"/>
      <c r="K1422" s="384"/>
      <c r="L1422" s="384"/>
      <c r="M1422" s="384"/>
      <c r="N1422" s="384"/>
      <c r="O1422" s="92"/>
      <c r="P1422" s="92"/>
      <c r="Q1422" s="104"/>
      <c r="R1422" s="104"/>
      <c r="S1422" s="107"/>
      <c r="T1422" s="109"/>
    </row>
    <row r="1423" spans="1:22" s="114" customFormat="1" ht="15">
      <c r="A1423" s="2" t="s">
        <v>0</v>
      </c>
      <c r="B1423" s="3" t="s">
        <v>1</v>
      </c>
      <c r="C1423" s="4" t="s">
        <v>2</v>
      </c>
      <c r="D1423" s="5" t="s">
        <v>3</v>
      </c>
      <c r="E1423" s="6" t="s">
        <v>4</v>
      </c>
      <c r="F1423" s="3" t="s">
        <v>5</v>
      </c>
      <c r="G1423" s="7" t="s">
        <v>2</v>
      </c>
      <c r="H1423" s="6" t="s">
        <v>6</v>
      </c>
      <c r="I1423" s="6" t="s">
        <v>7</v>
      </c>
      <c r="J1423" s="8" t="s">
        <v>8</v>
      </c>
      <c r="K1423" s="9" t="s">
        <v>9</v>
      </c>
      <c r="L1423" s="10" t="s">
        <v>10</v>
      </c>
      <c r="M1423" s="11" t="s">
        <v>11</v>
      </c>
      <c r="N1423" s="103" t="s">
        <v>53</v>
      </c>
      <c r="O1423" s="105" t="s">
        <v>110</v>
      </c>
      <c r="P1423" s="106" t="s">
        <v>0</v>
      </c>
      <c r="Q1423" s="117" t="s">
        <v>13</v>
      </c>
      <c r="R1423" s="117" t="s">
        <v>70</v>
      </c>
      <c r="S1423" s="111" t="s">
        <v>103</v>
      </c>
      <c r="T1423" s="116" t="s">
        <v>107</v>
      </c>
      <c r="V1423" s="9"/>
    </row>
    <row r="1424" spans="1:20" s="114" customFormat="1" ht="15">
      <c r="A1424" s="12" t="s">
        <v>383</v>
      </c>
      <c r="B1424" s="13">
        <v>42242.48333333333</v>
      </c>
      <c r="C1424" s="14">
        <v>64.98</v>
      </c>
      <c r="D1424" s="15">
        <v>1600</v>
      </c>
      <c r="E1424" s="15">
        <f aca="true" t="shared" si="246" ref="E1424:E1446">C1424*D1424+11</f>
        <v>103979</v>
      </c>
      <c r="F1424" s="13"/>
      <c r="G1424" s="14">
        <v>75.79</v>
      </c>
      <c r="H1424" s="15">
        <f aca="true" t="shared" si="247" ref="H1424:H1446">G1424*D1424</f>
        <v>121264.00000000001</v>
      </c>
      <c r="I1424" s="16">
        <f aca="true" t="shared" si="248" ref="I1424:I1446">H1424-E1424</f>
        <v>17285.000000000015</v>
      </c>
      <c r="J1424" s="19">
        <f aca="true" t="shared" si="249" ref="J1424:J1446">I1424/E1424</f>
        <v>0.16623548985852926</v>
      </c>
      <c r="K1424" s="95" t="s">
        <v>384</v>
      </c>
      <c r="L1424" s="119">
        <v>69.13</v>
      </c>
      <c r="M1424" s="41">
        <f aca="true" t="shared" si="250" ref="M1424:M1446">C1424*0.93</f>
        <v>60.431400000000004</v>
      </c>
      <c r="N1424" s="117">
        <v>88.5</v>
      </c>
      <c r="O1424" s="121">
        <v>42300</v>
      </c>
      <c r="P1424" s="116" t="s">
        <v>383</v>
      </c>
      <c r="Q1424" s="117">
        <v>80.85</v>
      </c>
      <c r="R1424" s="118">
        <f>Q1424*0.855</f>
        <v>69.12674999999999</v>
      </c>
      <c r="S1424" s="117">
        <f>1.11*C1424</f>
        <v>72.12780000000001</v>
      </c>
      <c r="T1424" s="116"/>
    </row>
    <row r="1425" spans="1:20" s="114" customFormat="1" ht="15">
      <c r="A1425" s="12" t="s">
        <v>383</v>
      </c>
      <c r="B1425" s="13">
        <v>42242.53611111111</v>
      </c>
      <c r="C1425" s="14">
        <v>67.31</v>
      </c>
      <c r="D1425" s="15">
        <v>900</v>
      </c>
      <c r="E1425" s="15">
        <f t="shared" si="246"/>
        <v>60590</v>
      </c>
      <c r="F1425" s="13"/>
      <c r="G1425" s="14">
        <v>75.79</v>
      </c>
      <c r="H1425" s="15">
        <f t="shared" si="247"/>
        <v>68211</v>
      </c>
      <c r="I1425" s="16">
        <f t="shared" si="248"/>
        <v>7621</v>
      </c>
      <c r="J1425" s="19">
        <f t="shared" si="249"/>
        <v>0.12577983165538867</v>
      </c>
      <c r="K1425" s="95" t="s">
        <v>386</v>
      </c>
      <c r="L1425" s="119">
        <v>69.13</v>
      </c>
      <c r="M1425" s="41">
        <f t="shared" si="250"/>
        <v>62.59830000000001</v>
      </c>
      <c r="N1425" s="117">
        <v>89.5</v>
      </c>
      <c r="P1425" s="116" t="s">
        <v>383</v>
      </c>
      <c r="Q1425" s="117"/>
      <c r="R1425" s="117"/>
      <c r="S1425" s="117"/>
      <c r="T1425" s="116"/>
    </row>
    <row r="1426" spans="1:20" s="114" customFormat="1" ht="15">
      <c r="A1426" s="12" t="s">
        <v>383</v>
      </c>
      <c r="B1426" s="13">
        <v>42243.32013888889</v>
      </c>
      <c r="C1426" s="14">
        <v>69.5</v>
      </c>
      <c r="D1426" s="15">
        <v>570</v>
      </c>
      <c r="E1426" s="15">
        <f t="shared" si="246"/>
        <v>39626</v>
      </c>
      <c r="F1426" s="13"/>
      <c r="G1426" s="14">
        <v>75.79</v>
      </c>
      <c r="H1426" s="15">
        <f t="shared" si="247"/>
        <v>43200.3</v>
      </c>
      <c r="I1426" s="16">
        <f t="shared" si="248"/>
        <v>3574.300000000003</v>
      </c>
      <c r="J1426" s="19">
        <f t="shared" si="249"/>
        <v>0.0902008782112755</v>
      </c>
      <c r="K1426" s="95" t="s">
        <v>385</v>
      </c>
      <c r="L1426" s="119">
        <v>69.13</v>
      </c>
      <c r="M1426" s="41">
        <f t="shared" si="250"/>
        <v>64.635</v>
      </c>
      <c r="N1426" s="117">
        <v>89.5</v>
      </c>
      <c r="P1426" s="116" t="s">
        <v>383</v>
      </c>
      <c r="Q1426" s="117"/>
      <c r="R1426" s="117"/>
      <c r="S1426" s="117"/>
      <c r="T1426" s="116"/>
    </row>
    <row r="1427" spans="1:20" s="114" customFormat="1" ht="15">
      <c r="A1427" s="12" t="s">
        <v>383</v>
      </c>
      <c r="B1427" s="13">
        <v>42282.29236111111</v>
      </c>
      <c r="C1427" s="14">
        <v>73.5</v>
      </c>
      <c r="D1427" s="15">
        <v>620</v>
      </c>
      <c r="E1427" s="15">
        <f t="shared" si="246"/>
        <v>45581</v>
      </c>
      <c r="F1427" s="13"/>
      <c r="G1427" s="14">
        <v>75.79</v>
      </c>
      <c r="H1427" s="15">
        <f t="shared" si="247"/>
        <v>46989.8</v>
      </c>
      <c r="I1427" s="16">
        <f t="shared" si="248"/>
        <v>1408.800000000003</v>
      </c>
      <c r="J1427" s="19">
        <f t="shared" si="249"/>
        <v>0.030907615015028256</v>
      </c>
      <c r="K1427" s="95" t="s">
        <v>446</v>
      </c>
      <c r="L1427" s="119">
        <v>69.13</v>
      </c>
      <c r="M1427" s="41">
        <f t="shared" si="250"/>
        <v>68.355</v>
      </c>
      <c r="N1427" s="117">
        <v>89.5</v>
      </c>
      <c r="P1427" s="116" t="s">
        <v>383</v>
      </c>
      <c r="Q1427" s="117"/>
      <c r="R1427" s="117"/>
      <c r="S1427" s="117"/>
      <c r="T1427" s="116"/>
    </row>
    <row r="1428" spans="1:20" s="114" customFormat="1" ht="15">
      <c r="A1428" s="12" t="s">
        <v>388</v>
      </c>
      <c r="B1428" s="13">
        <v>42244.365277777775</v>
      </c>
      <c r="C1428" s="14">
        <v>139.5</v>
      </c>
      <c r="D1428" s="15">
        <v>720</v>
      </c>
      <c r="E1428" s="15">
        <f t="shared" si="246"/>
        <v>100451</v>
      </c>
      <c r="F1428" s="13"/>
      <c r="G1428" s="14">
        <v>173.19</v>
      </c>
      <c r="H1428" s="15">
        <f t="shared" si="247"/>
        <v>124696.8</v>
      </c>
      <c r="I1428" s="16">
        <f t="shared" si="248"/>
        <v>24245.800000000003</v>
      </c>
      <c r="J1428" s="19">
        <f t="shared" si="249"/>
        <v>0.24136942389821905</v>
      </c>
      <c r="K1428" s="95" t="s">
        <v>387</v>
      </c>
      <c r="L1428" s="119">
        <v>153.31</v>
      </c>
      <c r="M1428" s="41">
        <f t="shared" si="250"/>
        <v>129.735</v>
      </c>
      <c r="N1428" s="117">
        <v>179.43</v>
      </c>
      <c r="O1428" s="121">
        <v>42313</v>
      </c>
      <c r="P1428" s="116" t="s">
        <v>388</v>
      </c>
      <c r="Q1428" s="117">
        <v>179.31</v>
      </c>
      <c r="R1428" s="118">
        <f>Q1428*0.855</f>
        <v>153.31005</v>
      </c>
      <c r="S1428" s="117">
        <f>1.11*C1428</f>
        <v>154.84500000000003</v>
      </c>
      <c r="T1428" s="116"/>
    </row>
    <row r="1429" spans="1:20" s="114" customFormat="1" ht="15">
      <c r="A1429" s="12" t="s">
        <v>388</v>
      </c>
      <c r="B1429" s="13">
        <v>42255.47430555556</v>
      </c>
      <c r="C1429" s="14">
        <v>141.06</v>
      </c>
      <c r="D1429" s="15">
        <v>430</v>
      </c>
      <c r="E1429" s="15">
        <f t="shared" si="246"/>
        <v>60666.8</v>
      </c>
      <c r="F1429" s="13"/>
      <c r="G1429" s="14">
        <v>173.19</v>
      </c>
      <c r="H1429" s="15">
        <f t="shared" si="247"/>
        <v>74471.7</v>
      </c>
      <c r="I1429" s="16">
        <f t="shared" si="248"/>
        <v>13804.899999999994</v>
      </c>
      <c r="J1429" s="19">
        <f t="shared" si="249"/>
        <v>0.22755279658726013</v>
      </c>
      <c r="K1429" s="95" t="s">
        <v>394</v>
      </c>
      <c r="L1429" s="119">
        <v>153.31</v>
      </c>
      <c r="M1429" s="41">
        <f t="shared" si="250"/>
        <v>131.1858</v>
      </c>
      <c r="N1429" s="117">
        <v>179.43</v>
      </c>
      <c r="O1429" s="113"/>
      <c r="P1429" s="116" t="s">
        <v>388</v>
      </c>
      <c r="Q1429" s="117"/>
      <c r="R1429" s="118"/>
      <c r="S1429" s="117"/>
      <c r="T1429" s="116"/>
    </row>
    <row r="1430" spans="1:20" s="114" customFormat="1" ht="15">
      <c r="A1430" s="12" t="s">
        <v>388</v>
      </c>
      <c r="B1430" s="13">
        <v>42257.325</v>
      </c>
      <c r="C1430" s="14">
        <v>143.71</v>
      </c>
      <c r="D1430" s="15">
        <v>280</v>
      </c>
      <c r="E1430" s="15">
        <f t="shared" si="246"/>
        <v>40249.8</v>
      </c>
      <c r="F1430" s="13"/>
      <c r="G1430" s="14">
        <v>173.19</v>
      </c>
      <c r="H1430" s="15">
        <f t="shared" si="247"/>
        <v>48493.2</v>
      </c>
      <c r="I1430" s="16">
        <f t="shared" si="248"/>
        <v>8243.399999999994</v>
      </c>
      <c r="J1430" s="19">
        <f t="shared" si="249"/>
        <v>0.20480598661359792</v>
      </c>
      <c r="K1430" s="95" t="s">
        <v>395</v>
      </c>
      <c r="L1430" s="119">
        <v>153.31</v>
      </c>
      <c r="M1430" s="41">
        <f t="shared" si="250"/>
        <v>133.65030000000002</v>
      </c>
      <c r="N1430" s="117">
        <v>179.43</v>
      </c>
      <c r="O1430" s="113"/>
      <c r="P1430" s="116" t="s">
        <v>388</v>
      </c>
      <c r="Q1430" s="117"/>
      <c r="R1430" s="118"/>
      <c r="S1430" s="117"/>
      <c r="T1430" s="116"/>
    </row>
    <row r="1431" spans="1:20" s="114" customFormat="1" ht="15">
      <c r="A1431" s="12" t="s">
        <v>388</v>
      </c>
      <c r="B1431" s="13">
        <v>42278.46111111111</v>
      </c>
      <c r="C1431" s="14">
        <v>161.21</v>
      </c>
      <c r="D1431" s="15">
        <v>290</v>
      </c>
      <c r="E1431" s="15">
        <f t="shared" si="246"/>
        <v>46761.9</v>
      </c>
      <c r="F1431" s="13"/>
      <c r="G1431" s="14">
        <v>173.19</v>
      </c>
      <c r="H1431" s="15">
        <f t="shared" si="247"/>
        <v>50225.1</v>
      </c>
      <c r="I1431" s="16">
        <f t="shared" si="248"/>
        <v>3463.199999999997</v>
      </c>
      <c r="J1431" s="19">
        <f t="shared" si="249"/>
        <v>0.07406029267416415</v>
      </c>
      <c r="K1431" s="95" t="s">
        <v>435</v>
      </c>
      <c r="L1431" s="119">
        <v>153.31</v>
      </c>
      <c r="M1431" s="41">
        <f t="shared" si="250"/>
        <v>149.92530000000002</v>
      </c>
      <c r="N1431" s="117">
        <v>179.43</v>
      </c>
      <c r="O1431" s="113"/>
      <c r="P1431" s="116" t="s">
        <v>388</v>
      </c>
      <c r="Q1431" s="117"/>
      <c r="R1431" s="118"/>
      <c r="S1431" s="117"/>
      <c r="T1431" s="116"/>
    </row>
    <row r="1432" spans="1:20" s="114" customFormat="1" ht="15">
      <c r="A1432" s="12" t="s">
        <v>388</v>
      </c>
      <c r="B1432" s="13">
        <v>42292.538194444445</v>
      </c>
      <c r="C1432" s="14">
        <v>170.78</v>
      </c>
      <c r="D1432" s="15">
        <v>350</v>
      </c>
      <c r="E1432" s="15">
        <f t="shared" si="246"/>
        <v>59784</v>
      </c>
      <c r="F1432" s="13"/>
      <c r="G1432" s="14">
        <v>173.19</v>
      </c>
      <c r="H1432" s="15">
        <f t="shared" si="247"/>
        <v>60616.5</v>
      </c>
      <c r="I1432" s="16">
        <f t="shared" si="248"/>
        <v>832.5</v>
      </c>
      <c r="J1432" s="19">
        <f t="shared" si="249"/>
        <v>0.013925130469690888</v>
      </c>
      <c r="K1432" s="95" t="s">
        <v>447</v>
      </c>
      <c r="L1432" s="119"/>
      <c r="M1432" s="20">
        <f t="shared" si="250"/>
        <v>158.8254</v>
      </c>
      <c r="N1432" s="117">
        <v>179.43</v>
      </c>
      <c r="O1432" s="113"/>
      <c r="P1432" s="116" t="s">
        <v>388</v>
      </c>
      <c r="Q1432" s="117"/>
      <c r="R1432" s="118"/>
      <c r="S1432" s="117"/>
      <c r="T1432" s="116"/>
    </row>
    <row r="1433" spans="1:20" s="114" customFormat="1" ht="15">
      <c r="A1433" s="12" t="s">
        <v>406</v>
      </c>
      <c r="B1433" s="13">
        <v>42262.37986111111</v>
      </c>
      <c r="C1433" s="14">
        <v>71.51</v>
      </c>
      <c r="D1433" s="15">
        <v>1400</v>
      </c>
      <c r="E1433" s="15">
        <f t="shared" si="246"/>
        <v>100125</v>
      </c>
      <c r="F1433" s="13"/>
      <c r="G1433" s="14">
        <v>78.56</v>
      </c>
      <c r="H1433" s="15">
        <f t="shared" si="247"/>
        <v>109984</v>
      </c>
      <c r="I1433" s="16">
        <f t="shared" si="248"/>
        <v>9859</v>
      </c>
      <c r="J1433" s="19">
        <f t="shared" si="249"/>
        <v>0.0984669163545568</v>
      </c>
      <c r="K1433" s="95" t="s">
        <v>417</v>
      </c>
      <c r="L1433" s="119">
        <v>67.87</v>
      </c>
      <c r="M1433" s="41">
        <f t="shared" si="250"/>
        <v>66.50430000000001</v>
      </c>
      <c r="N1433" s="117">
        <v>93.15</v>
      </c>
      <c r="O1433" s="121">
        <v>42339</v>
      </c>
      <c r="P1433" s="116" t="s">
        <v>406</v>
      </c>
      <c r="Q1433" s="117">
        <v>79.38</v>
      </c>
      <c r="R1433" s="118">
        <f>Q1433*0.855</f>
        <v>67.8699</v>
      </c>
      <c r="S1433" s="117">
        <f>1.11*C1433</f>
        <v>79.37610000000001</v>
      </c>
      <c r="T1433" s="116"/>
    </row>
    <row r="1434" spans="1:20" s="114" customFormat="1" ht="15">
      <c r="A1434" s="12" t="s">
        <v>406</v>
      </c>
      <c r="B1434" s="13">
        <v>42272.38680555556</v>
      </c>
      <c r="C1434" s="14">
        <v>73.36</v>
      </c>
      <c r="D1434" s="15">
        <v>820</v>
      </c>
      <c r="E1434" s="15">
        <f t="shared" si="246"/>
        <v>60166.2</v>
      </c>
      <c r="F1434" s="13"/>
      <c r="G1434" s="14">
        <v>78.56</v>
      </c>
      <c r="H1434" s="15">
        <f t="shared" si="247"/>
        <v>64419.200000000004</v>
      </c>
      <c r="I1434" s="16">
        <f t="shared" si="248"/>
        <v>4253.000000000007</v>
      </c>
      <c r="J1434" s="19">
        <f t="shared" si="249"/>
        <v>0.07068752887834046</v>
      </c>
      <c r="K1434" s="95" t="s">
        <v>426</v>
      </c>
      <c r="L1434" s="119"/>
      <c r="M1434" s="20">
        <f t="shared" si="250"/>
        <v>68.2248</v>
      </c>
      <c r="N1434" s="117">
        <v>93.15</v>
      </c>
      <c r="O1434" s="87"/>
      <c r="P1434" s="116" t="s">
        <v>406</v>
      </c>
      <c r="Q1434" s="117"/>
      <c r="R1434" s="118"/>
      <c r="S1434" s="117"/>
      <c r="T1434" s="116"/>
    </row>
    <row r="1435" spans="1:20" s="114" customFormat="1" ht="15">
      <c r="A1435" s="12" t="s">
        <v>406</v>
      </c>
      <c r="B1435" s="13">
        <v>42279.53611111111</v>
      </c>
      <c r="C1435" s="14">
        <v>73.86</v>
      </c>
      <c r="D1435" s="15">
        <v>550</v>
      </c>
      <c r="E1435" s="15">
        <f t="shared" si="246"/>
        <v>40634</v>
      </c>
      <c r="F1435" s="13"/>
      <c r="G1435" s="14">
        <v>78.56</v>
      </c>
      <c r="H1435" s="15">
        <f t="shared" si="247"/>
        <v>43208</v>
      </c>
      <c r="I1435" s="16">
        <f t="shared" si="248"/>
        <v>2574</v>
      </c>
      <c r="J1435" s="19">
        <f t="shared" si="249"/>
        <v>0.06334596643205198</v>
      </c>
      <c r="K1435" s="95" t="s">
        <v>425</v>
      </c>
      <c r="L1435" s="119"/>
      <c r="M1435" s="20">
        <f t="shared" si="250"/>
        <v>68.6898</v>
      </c>
      <c r="N1435" s="117">
        <v>93.15</v>
      </c>
      <c r="O1435" s="87"/>
      <c r="P1435" s="116" t="s">
        <v>406</v>
      </c>
      <c r="Q1435" s="117"/>
      <c r="R1435" s="118"/>
      <c r="S1435" s="117"/>
      <c r="T1435" s="116"/>
    </row>
    <row r="1436" spans="1:20" s="114" customFormat="1" ht="15">
      <c r="A1436" s="12" t="s">
        <v>73</v>
      </c>
      <c r="B1436" s="13">
        <v>42277.27777777778</v>
      </c>
      <c r="C1436" s="14">
        <v>28.8</v>
      </c>
      <c r="D1436" s="15">
        <v>3500</v>
      </c>
      <c r="E1436" s="15">
        <f t="shared" si="246"/>
        <v>100811</v>
      </c>
      <c r="F1436" s="13"/>
      <c r="G1436" s="14">
        <v>36.32</v>
      </c>
      <c r="H1436" s="15">
        <f t="shared" si="247"/>
        <v>127120</v>
      </c>
      <c r="I1436" s="16">
        <f t="shared" si="248"/>
        <v>26309</v>
      </c>
      <c r="J1436" s="19">
        <f t="shared" si="249"/>
        <v>0.26097350487546</v>
      </c>
      <c r="K1436" s="95" t="s">
        <v>427</v>
      </c>
      <c r="L1436" s="119">
        <v>31.26</v>
      </c>
      <c r="M1436" s="41">
        <f t="shared" si="250"/>
        <v>26.784000000000002</v>
      </c>
      <c r="N1436" s="117">
        <v>36.2</v>
      </c>
      <c r="O1436" s="121">
        <v>42333</v>
      </c>
      <c r="P1436" s="116" t="s">
        <v>73</v>
      </c>
      <c r="Q1436" s="117">
        <v>36.56</v>
      </c>
      <c r="R1436" s="118">
        <f>Q1436*0.855</f>
        <v>31.2588</v>
      </c>
      <c r="S1436" s="117">
        <f>1.11*C1436</f>
        <v>31.968000000000004</v>
      </c>
      <c r="T1436" s="116"/>
    </row>
    <row r="1437" spans="1:20" s="114" customFormat="1" ht="15">
      <c r="A1437" s="12" t="s">
        <v>73</v>
      </c>
      <c r="B1437" s="13">
        <v>42277.30972222222</v>
      </c>
      <c r="C1437" s="14">
        <v>29.12</v>
      </c>
      <c r="D1437" s="15">
        <v>2100</v>
      </c>
      <c r="E1437" s="15">
        <f t="shared" si="246"/>
        <v>61163</v>
      </c>
      <c r="F1437" s="13"/>
      <c r="G1437" s="14">
        <v>36.32</v>
      </c>
      <c r="H1437" s="15">
        <f t="shared" si="247"/>
        <v>76272</v>
      </c>
      <c r="I1437" s="16">
        <f t="shared" si="248"/>
        <v>15109</v>
      </c>
      <c r="J1437" s="19">
        <f t="shared" si="249"/>
        <v>0.24702843222209506</v>
      </c>
      <c r="K1437" s="95" t="s">
        <v>428</v>
      </c>
      <c r="L1437" s="119">
        <v>31.26</v>
      </c>
      <c r="M1437" s="41">
        <f t="shared" si="250"/>
        <v>27.0816</v>
      </c>
      <c r="N1437" s="117">
        <v>36.2</v>
      </c>
      <c r="O1437" s="87"/>
      <c r="P1437" s="116" t="s">
        <v>73</v>
      </c>
      <c r="Q1437" s="117"/>
      <c r="R1437" s="118"/>
      <c r="S1437" s="117"/>
      <c r="T1437" s="116"/>
    </row>
    <row r="1438" spans="1:20" s="114" customFormat="1" ht="15">
      <c r="A1438" s="12" t="s">
        <v>73</v>
      </c>
      <c r="B1438" s="13">
        <v>42277.34652777778</v>
      </c>
      <c r="C1438" s="14">
        <v>29.74</v>
      </c>
      <c r="D1438" s="15">
        <v>1350</v>
      </c>
      <c r="E1438" s="15">
        <f t="shared" si="246"/>
        <v>40160</v>
      </c>
      <c r="F1438" s="13"/>
      <c r="G1438" s="14">
        <v>36.32</v>
      </c>
      <c r="H1438" s="15">
        <f t="shared" si="247"/>
        <v>49032</v>
      </c>
      <c r="I1438" s="16">
        <f t="shared" si="248"/>
        <v>8872</v>
      </c>
      <c r="J1438" s="19">
        <f t="shared" si="249"/>
        <v>0.22091633466135457</v>
      </c>
      <c r="K1438" s="95" t="s">
        <v>429</v>
      </c>
      <c r="L1438" s="119">
        <v>31.26</v>
      </c>
      <c r="M1438" s="41">
        <f t="shared" si="250"/>
        <v>27.6582</v>
      </c>
      <c r="N1438" s="117">
        <v>36.2</v>
      </c>
      <c r="O1438" s="87"/>
      <c r="P1438" s="116" t="s">
        <v>73</v>
      </c>
      <c r="Q1438" s="117"/>
      <c r="R1438" s="118"/>
      <c r="S1438" s="117"/>
      <c r="T1438" s="116"/>
    </row>
    <row r="1439" spans="1:20" s="114" customFormat="1" ht="15">
      <c r="A1439" s="12" t="s">
        <v>63</v>
      </c>
      <c r="B1439" s="13">
        <v>42279.495833333334</v>
      </c>
      <c r="C1439" s="14">
        <v>24.24</v>
      </c>
      <c r="D1439" s="15">
        <v>4150</v>
      </c>
      <c r="E1439" s="15">
        <f t="shared" si="246"/>
        <v>100607</v>
      </c>
      <c r="F1439" s="13"/>
      <c r="G1439" s="14">
        <v>28.32</v>
      </c>
      <c r="H1439" s="15">
        <f t="shared" si="247"/>
        <v>117528</v>
      </c>
      <c r="I1439" s="16">
        <f t="shared" si="248"/>
        <v>16921</v>
      </c>
      <c r="J1439" s="19">
        <f t="shared" si="249"/>
        <v>0.16818909221028358</v>
      </c>
      <c r="K1439" s="95" t="s">
        <v>439</v>
      </c>
      <c r="L1439" s="119">
        <v>25.93</v>
      </c>
      <c r="M1439" s="41">
        <f t="shared" si="250"/>
        <v>22.5432</v>
      </c>
      <c r="N1439" s="117">
        <v>31.93</v>
      </c>
      <c r="O1439" s="121">
        <v>42339</v>
      </c>
      <c r="P1439" s="116" t="s">
        <v>63</v>
      </c>
      <c r="Q1439" s="117">
        <v>30.33</v>
      </c>
      <c r="R1439" s="118">
        <f>Q1439*0.855</f>
        <v>25.932149999999996</v>
      </c>
      <c r="S1439" s="117">
        <f>1.11*C1439</f>
        <v>26.9064</v>
      </c>
      <c r="T1439" s="116"/>
    </row>
    <row r="1440" spans="1:20" s="114" customFormat="1" ht="15">
      <c r="A1440" s="12" t="s">
        <v>63</v>
      </c>
      <c r="B1440" s="13">
        <v>42282.274305555555</v>
      </c>
      <c r="C1440" s="14">
        <v>24.95</v>
      </c>
      <c r="D1440" s="15">
        <v>2400</v>
      </c>
      <c r="E1440" s="15">
        <f t="shared" si="246"/>
        <v>59891</v>
      </c>
      <c r="F1440" s="13"/>
      <c r="G1440" s="14">
        <v>28.32</v>
      </c>
      <c r="H1440" s="15">
        <f t="shared" si="247"/>
        <v>67968</v>
      </c>
      <c r="I1440" s="16">
        <f t="shared" si="248"/>
        <v>8077</v>
      </c>
      <c r="J1440" s="19">
        <f t="shared" si="249"/>
        <v>0.13486166535873503</v>
      </c>
      <c r="K1440" s="95" t="s">
        <v>437</v>
      </c>
      <c r="L1440" s="119">
        <v>25.93</v>
      </c>
      <c r="M1440" s="41">
        <f t="shared" si="250"/>
        <v>23.203500000000002</v>
      </c>
      <c r="N1440" s="117">
        <v>31.93</v>
      </c>
      <c r="O1440" s="87"/>
      <c r="P1440" s="116" t="s">
        <v>63</v>
      </c>
      <c r="Q1440" s="117"/>
      <c r="R1440" s="118"/>
      <c r="S1440" s="117"/>
      <c r="T1440" s="116"/>
    </row>
    <row r="1441" spans="1:20" s="114" customFormat="1" ht="15">
      <c r="A1441" s="12" t="s">
        <v>63</v>
      </c>
      <c r="B1441" s="13">
        <v>42282.41111111111</v>
      </c>
      <c r="C1441" s="14">
        <v>25.39</v>
      </c>
      <c r="D1441" s="15">
        <v>1600</v>
      </c>
      <c r="E1441" s="15">
        <f t="shared" si="246"/>
        <v>40635</v>
      </c>
      <c r="F1441" s="13"/>
      <c r="G1441" s="14">
        <v>28.32</v>
      </c>
      <c r="H1441" s="15">
        <f t="shared" si="247"/>
        <v>45312</v>
      </c>
      <c r="I1441" s="16">
        <f t="shared" si="248"/>
        <v>4677</v>
      </c>
      <c r="J1441" s="19">
        <f t="shared" si="249"/>
        <v>0.11509782207456626</v>
      </c>
      <c r="K1441" s="95" t="s">
        <v>438</v>
      </c>
      <c r="L1441" s="119">
        <v>25.93</v>
      </c>
      <c r="M1441" s="41">
        <f t="shared" si="250"/>
        <v>23.6127</v>
      </c>
      <c r="N1441" s="117">
        <v>31.93</v>
      </c>
      <c r="O1441" s="87"/>
      <c r="P1441" s="116" t="s">
        <v>63</v>
      </c>
      <c r="Q1441" s="117"/>
      <c r="R1441" s="118"/>
      <c r="S1441" s="117"/>
      <c r="T1441" s="116"/>
    </row>
    <row r="1442" spans="1:20" s="114" customFormat="1" ht="15">
      <c r="A1442" s="12" t="s">
        <v>418</v>
      </c>
      <c r="B1442" s="13">
        <v>42279.50763888889</v>
      </c>
      <c r="C1442" s="14">
        <v>20.86</v>
      </c>
      <c r="D1442" s="15">
        <v>4800</v>
      </c>
      <c r="E1442" s="15">
        <f t="shared" si="246"/>
        <v>100139</v>
      </c>
      <c r="F1442" s="13"/>
      <c r="G1442" s="14">
        <v>24.25</v>
      </c>
      <c r="H1442" s="15">
        <f t="shared" si="247"/>
        <v>116400</v>
      </c>
      <c r="I1442" s="16">
        <f t="shared" si="248"/>
        <v>16261</v>
      </c>
      <c r="J1442" s="19">
        <f t="shared" si="249"/>
        <v>0.16238428584267867</v>
      </c>
      <c r="K1442" s="95" t="s">
        <v>430</v>
      </c>
      <c r="L1442" s="119">
        <v>21.21</v>
      </c>
      <c r="M1442" s="41">
        <f t="shared" si="250"/>
        <v>19.3998</v>
      </c>
      <c r="N1442" s="117">
        <v>25.86</v>
      </c>
      <c r="O1442" s="121">
        <v>42338</v>
      </c>
      <c r="P1442" s="116" t="s">
        <v>418</v>
      </c>
      <c r="Q1442" s="117">
        <v>24.81</v>
      </c>
      <c r="R1442" s="118">
        <f>Q1442*0.855</f>
        <v>21.21255</v>
      </c>
      <c r="S1442" s="117">
        <f>1.11*C1442</f>
        <v>23.154600000000002</v>
      </c>
      <c r="T1442" s="116"/>
    </row>
    <row r="1443" spans="1:20" s="114" customFormat="1" ht="15">
      <c r="A1443" s="12" t="s">
        <v>418</v>
      </c>
      <c r="B1443" s="13">
        <v>42283.475</v>
      </c>
      <c r="C1443" s="14">
        <v>21.31</v>
      </c>
      <c r="D1443" s="15">
        <v>2820</v>
      </c>
      <c r="E1443" s="15">
        <f t="shared" si="246"/>
        <v>60105.2</v>
      </c>
      <c r="F1443" s="13"/>
      <c r="G1443" s="14">
        <v>24.25</v>
      </c>
      <c r="H1443" s="15">
        <f t="shared" si="247"/>
        <v>68385</v>
      </c>
      <c r="I1443" s="16">
        <f t="shared" si="248"/>
        <v>8279.800000000003</v>
      </c>
      <c r="J1443" s="19">
        <f t="shared" si="249"/>
        <v>0.137755135994889</v>
      </c>
      <c r="K1443" s="95" t="s">
        <v>440</v>
      </c>
      <c r="L1443" s="119">
        <v>21.21</v>
      </c>
      <c r="M1443" s="41">
        <f t="shared" si="250"/>
        <v>19.8183</v>
      </c>
      <c r="N1443" s="117">
        <v>25.86</v>
      </c>
      <c r="O1443" s="87"/>
      <c r="P1443" s="116" t="s">
        <v>418</v>
      </c>
      <c r="Q1443" s="117"/>
      <c r="R1443" s="118"/>
      <c r="S1443" s="117"/>
      <c r="T1443" s="116"/>
    </row>
    <row r="1444" spans="1:20" s="114" customFormat="1" ht="15">
      <c r="A1444" s="12" t="s">
        <v>418</v>
      </c>
      <c r="B1444" s="13">
        <v>42290.29583333333</v>
      </c>
      <c r="C1444" s="14">
        <v>21.78</v>
      </c>
      <c r="D1444" s="15">
        <v>1850</v>
      </c>
      <c r="E1444" s="15">
        <f t="shared" si="246"/>
        <v>40304</v>
      </c>
      <c r="F1444" s="13"/>
      <c r="G1444" s="14">
        <v>24.25</v>
      </c>
      <c r="H1444" s="15">
        <f t="shared" si="247"/>
        <v>44862.5</v>
      </c>
      <c r="I1444" s="16">
        <f t="shared" si="248"/>
        <v>4558.5</v>
      </c>
      <c r="J1444" s="19">
        <f t="shared" si="249"/>
        <v>0.11310291782453355</v>
      </c>
      <c r="K1444" s="95" t="s">
        <v>443</v>
      </c>
      <c r="L1444" s="119">
        <v>21.21</v>
      </c>
      <c r="M1444" s="41">
        <f t="shared" si="250"/>
        <v>20.2554</v>
      </c>
      <c r="N1444" s="117">
        <v>25.86</v>
      </c>
      <c r="O1444" s="87"/>
      <c r="P1444" s="116" t="s">
        <v>418</v>
      </c>
      <c r="Q1444" s="117"/>
      <c r="R1444" s="118"/>
      <c r="S1444" s="117"/>
      <c r="T1444" s="116"/>
    </row>
    <row r="1445" spans="1:20" s="114" customFormat="1" ht="15">
      <c r="A1445" s="12" t="s">
        <v>433</v>
      </c>
      <c r="B1445" s="13">
        <v>42279.53611111111</v>
      </c>
      <c r="C1445" s="14">
        <v>182.34</v>
      </c>
      <c r="D1445" s="15">
        <v>550</v>
      </c>
      <c r="E1445" s="15">
        <f t="shared" si="246"/>
        <v>100298</v>
      </c>
      <c r="F1445" s="13"/>
      <c r="G1445" s="14">
        <v>195.31</v>
      </c>
      <c r="H1445" s="15">
        <f t="shared" si="247"/>
        <v>107420.5</v>
      </c>
      <c r="I1445" s="16">
        <f t="shared" si="248"/>
        <v>7122.5</v>
      </c>
      <c r="J1445" s="19">
        <f t="shared" si="249"/>
        <v>0.07101338012722089</v>
      </c>
      <c r="K1445" s="95" t="s">
        <v>459</v>
      </c>
      <c r="L1445" s="119"/>
      <c r="M1445" s="20">
        <f t="shared" si="250"/>
        <v>169.5762</v>
      </c>
      <c r="N1445" s="117">
        <v>232.76</v>
      </c>
      <c r="O1445" s="121">
        <v>42341</v>
      </c>
      <c r="P1445" s="116" t="s">
        <v>433</v>
      </c>
      <c r="Q1445" s="117">
        <v>194.24</v>
      </c>
      <c r="R1445" s="118"/>
      <c r="S1445" s="117">
        <f>1.11*C1445</f>
        <v>202.39740000000003</v>
      </c>
      <c r="T1445" s="116"/>
    </row>
    <row r="1446" spans="1:20" s="114" customFormat="1" ht="15">
      <c r="A1446" s="85" t="s">
        <v>433</v>
      </c>
      <c r="B1446" s="13">
        <v>42299.51597222222</v>
      </c>
      <c r="C1446" s="14">
        <v>188.38</v>
      </c>
      <c r="D1446" s="15">
        <v>320</v>
      </c>
      <c r="E1446" s="15">
        <f t="shared" si="246"/>
        <v>60292.6</v>
      </c>
      <c r="F1446" s="13"/>
      <c r="G1446" s="14">
        <v>195</v>
      </c>
      <c r="H1446" s="15">
        <f t="shared" si="247"/>
        <v>62400</v>
      </c>
      <c r="I1446" s="16">
        <f t="shared" si="248"/>
        <v>2107.4000000000015</v>
      </c>
      <c r="J1446" s="19">
        <f t="shared" si="249"/>
        <v>0.034952879789559604</v>
      </c>
      <c r="K1446" s="95" t="s">
        <v>458</v>
      </c>
      <c r="L1446" s="119"/>
      <c r="M1446" s="20">
        <f t="shared" si="250"/>
        <v>175.1934</v>
      </c>
      <c r="N1446" s="117">
        <v>232.76</v>
      </c>
      <c r="O1446" s="87"/>
      <c r="P1446" s="116" t="s">
        <v>433</v>
      </c>
      <c r="Q1446" s="117"/>
      <c r="R1446" s="118"/>
      <c r="S1446" s="117"/>
      <c r="T1446" s="116"/>
    </row>
    <row r="1447" spans="1:20" s="114" customFormat="1" ht="15">
      <c r="A1447" s="12"/>
      <c r="B1447" s="13"/>
      <c r="C1447" s="14"/>
      <c r="D1447" s="15"/>
      <c r="E1447" s="15"/>
      <c r="G1447" s="14"/>
      <c r="H1447" s="15"/>
      <c r="I1447" s="16"/>
      <c r="J1447" s="19"/>
      <c r="K1447" s="95"/>
      <c r="L1447" s="119"/>
      <c r="M1447" s="32"/>
      <c r="N1447" s="117"/>
      <c r="P1447" s="116"/>
      <c r="Q1447" s="117"/>
      <c r="R1447" s="117"/>
      <c r="S1447" s="117"/>
      <c r="T1447" s="116"/>
    </row>
    <row r="1448" spans="1:33" s="114" customFormat="1" ht="15">
      <c r="A1448" s="21" t="s">
        <v>14</v>
      </c>
      <c r="B1448" s="22"/>
      <c r="C1448" s="23"/>
      <c r="D1448" s="24"/>
      <c r="E1448" s="24">
        <f>SUM(E1424:E1447)</f>
        <v>1523020.5</v>
      </c>
      <c r="F1448" s="13"/>
      <c r="G1448" s="23"/>
      <c r="H1448" s="24">
        <f>SUM(H1424:H1447)</f>
        <v>1738479.5999999999</v>
      </c>
      <c r="I1448" s="25">
        <f>SUM(I1424:I1447)</f>
        <v>215459.1</v>
      </c>
      <c r="J1448" s="26">
        <f>I1448/E1448</f>
        <v>0.14146828621151192</v>
      </c>
      <c r="K1448" s="27" t="s">
        <v>15</v>
      </c>
      <c r="L1448" s="28">
        <f>100000+I1450</f>
        <v>766055.3099999999</v>
      </c>
      <c r="M1448" s="81"/>
      <c r="N1448" s="89"/>
      <c r="Q1448" s="117"/>
      <c r="R1448" s="117"/>
      <c r="S1448" s="117"/>
      <c r="T1448" s="116"/>
      <c r="X1448" s="114" t="s">
        <v>371</v>
      </c>
      <c r="Z1448" s="114" t="s">
        <v>17</v>
      </c>
      <c r="AC1448" s="114" t="s">
        <v>372</v>
      </c>
      <c r="AE1448" s="114" t="s">
        <v>373</v>
      </c>
      <c r="AG1448" s="114" t="s">
        <v>374</v>
      </c>
    </row>
    <row r="1449" spans="1:33" s="114" customFormat="1" ht="15">
      <c r="A1449" s="12" t="s">
        <v>67</v>
      </c>
      <c r="B1449" s="22"/>
      <c r="C1449" s="25">
        <f>I1450-I1419</f>
        <v>27000.099999999977</v>
      </c>
      <c r="D1449" s="26">
        <f>C1449/H1417</f>
        <v>0.016351934478162328</v>
      </c>
      <c r="E1449" s="24"/>
      <c r="F1449" s="22" t="s">
        <v>16</v>
      </c>
      <c r="G1449" s="117"/>
      <c r="H1449" s="29" t="str">
        <f>IF(ABS(H1448-E1448-I1448)&lt;1,"","ERROR")</f>
        <v/>
      </c>
      <c r="I1449" s="45">
        <v>450596.20999999996</v>
      </c>
      <c r="J1449" s="26"/>
      <c r="K1449" s="111" t="s">
        <v>17</v>
      </c>
      <c r="L1449" s="28">
        <f>(2*(100000+I1450))-E1448</f>
        <v>9090.119999999879</v>
      </c>
      <c r="M1449" s="31"/>
      <c r="Q1449" s="117"/>
      <c r="R1449" s="117"/>
      <c r="S1449" s="117"/>
      <c r="T1449" s="116"/>
      <c r="X1449" s="29" t="e">
        <f>E1448-#REF!-#REF!-#REF!</f>
        <v>#REF!</v>
      </c>
      <c r="Z1449" s="29">
        <f>E1448+L1449</f>
        <v>1532110.6199999999</v>
      </c>
      <c r="AC1449" s="29" t="e">
        <f>#REF!+#REF!+#REF!</f>
        <v>#REF!</v>
      </c>
      <c r="AE1449" s="29" t="e">
        <f>X1449-AC1449</f>
        <v>#REF!</v>
      </c>
      <c r="AG1449" s="155" t="e">
        <f>AE1449/Z1449</f>
        <v>#REF!</v>
      </c>
    </row>
    <row r="1450" spans="1:20" s="114" customFormat="1" ht="15">
      <c r="A1450" s="12" t="s">
        <v>54</v>
      </c>
      <c r="B1450" s="22"/>
      <c r="C1450" s="25">
        <f>L1448-L1417</f>
        <v>27000.099999999977</v>
      </c>
      <c r="D1450" s="26">
        <f>C1450/L1417</f>
        <v>0.036533265221146305</v>
      </c>
      <c r="E1450" s="24"/>
      <c r="F1450" s="22" t="s">
        <v>18</v>
      </c>
      <c r="G1450" s="117"/>
      <c r="H1450" s="29"/>
      <c r="I1450" s="30">
        <f>I1448+I1449</f>
        <v>666055.3099999999</v>
      </c>
      <c r="J1450" s="26">
        <f>I1450/100000</f>
        <v>6.6605531</v>
      </c>
      <c r="K1450" s="111" t="s">
        <v>19</v>
      </c>
      <c r="L1450" s="26">
        <f>E1448/(2*(100000+I1450))</f>
        <v>0.9940669297103365</v>
      </c>
      <c r="M1450" s="31"/>
      <c r="Q1450" s="117"/>
      <c r="R1450" s="117"/>
      <c r="S1450" s="117"/>
      <c r="T1450" s="116"/>
    </row>
    <row r="1451" spans="1:20" s="114" customFormat="1" ht="15">
      <c r="A1451" s="114">
        <v>7</v>
      </c>
      <c r="B1451" s="22"/>
      <c r="C1451" s="25"/>
      <c r="D1451" s="26"/>
      <c r="E1451" s="24"/>
      <c r="G1451" s="117"/>
      <c r="H1451" s="29"/>
      <c r="I1451" s="30"/>
      <c r="J1451" s="26"/>
      <c r="K1451" s="111"/>
      <c r="L1451" s="26"/>
      <c r="M1451" s="31"/>
      <c r="Q1451" s="117"/>
      <c r="R1451" s="117"/>
      <c r="S1451" s="117"/>
      <c r="T1451" s="116"/>
    </row>
    <row r="1452" spans="2:20" s="114" customFormat="1" ht="15">
      <c r="B1452" s="22"/>
      <c r="C1452" s="25"/>
      <c r="D1452" s="26"/>
      <c r="E1452" s="24"/>
      <c r="F1452" s="22"/>
      <c r="G1452" s="117"/>
      <c r="H1452" s="29"/>
      <c r="I1452" s="30"/>
      <c r="J1452" s="26"/>
      <c r="K1452" s="111"/>
      <c r="L1452" s="26"/>
      <c r="M1452" s="31"/>
      <c r="Q1452" s="117"/>
      <c r="R1452" s="117"/>
      <c r="S1452" s="117"/>
      <c r="T1452" s="116"/>
    </row>
    <row r="1453" spans="1:20" s="114" customFormat="1" ht="30.75" customHeight="1">
      <c r="A1453" s="108" t="s">
        <v>56</v>
      </c>
      <c r="B1453" s="384" t="s">
        <v>449</v>
      </c>
      <c r="C1453" s="384"/>
      <c r="D1453" s="384"/>
      <c r="E1453" s="384"/>
      <c r="F1453" s="384"/>
      <c r="G1453" s="384"/>
      <c r="H1453" s="384"/>
      <c r="I1453" s="384"/>
      <c r="J1453" s="384"/>
      <c r="K1453" s="384"/>
      <c r="L1453" s="384"/>
      <c r="M1453" s="384"/>
      <c r="N1453" s="384"/>
      <c r="O1453" s="92"/>
      <c r="P1453" s="92"/>
      <c r="Q1453" s="104"/>
      <c r="R1453" s="104"/>
      <c r="S1453" s="107"/>
      <c r="T1453" s="109"/>
    </row>
    <row r="1454" spans="1:22" s="114" customFormat="1" ht="15">
      <c r="A1454" s="2" t="s">
        <v>0</v>
      </c>
      <c r="B1454" s="3" t="s">
        <v>1</v>
      </c>
      <c r="C1454" s="4" t="s">
        <v>2</v>
      </c>
      <c r="D1454" s="5" t="s">
        <v>3</v>
      </c>
      <c r="E1454" s="6" t="s">
        <v>4</v>
      </c>
      <c r="F1454" s="3" t="s">
        <v>5</v>
      </c>
      <c r="G1454" s="7" t="s">
        <v>2</v>
      </c>
      <c r="H1454" s="6" t="s">
        <v>6</v>
      </c>
      <c r="I1454" s="6" t="s">
        <v>7</v>
      </c>
      <c r="J1454" s="8" t="s">
        <v>8</v>
      </c>
      <c r="K1454" s="9" t="s">
        <v>9</v>
      </c>
      <c r="L1454" s="10" t="s">
        <v>10</v>
      </c>
      <c r="M1454" s="11" t="s">
        <v>11</v>
      </c>
      <c r="N1454" s="103" t="s">
        <v>53</v>
      </c>
      <c r="O1454" s="105" t="s">
        <v>110</v>
      </c>
      <c r="P1454" s="106" t="s">
        <v>0</v>
      </c>
      <c r="Q1454" s="117" t="s">
        <v>13</v>
      </c>
      <c r="R1454" s="117" t="s">
        <v>70</v>
      </c>
      <c r="S1454" s="111" t="s">
        <v>103</v>
      </c>
      <c r="T1454" s="116" t="s">
        <v>107</v>
      </c>
      <c r="V1454" s="9"/>
    </row>
    <row r="1455" spans="1:20" s="114" customFormat="1" ht="15">
      <c r="A1455" s="12" t="s">
        <v>383</v>
      </c>
      <c r="B1455" s="13">
        <v>42242.48333333333</v>
      </c>
      <c r="C1455" s="14">
        <v>64.98</v>
      </c>
      <c r="D1455" s="15">
        <v>1600</v>
      </c>
      <c r="E1455" s="15">
        <f aca="true" t="shared" si="251" ref="E1455:E1473">C1455*D1455+11</f>
        <v>103979</v>
      </c>
      <c r="F1455" s="13"/>
      <c r="G1455" s="14">
        <v>76.09</v>
      </c>
      <c r="H1455" s="15">
        <f aca="true" t="shared" si="252" ref="H1455:H1473">G1455*D1455</f>
        <v>121744</v>
      </c>
      <c r="I1455" s="16">
        <f aca="true" t="shared" si="253" ref="I1455:I1473">H1455-E1455</f>
        <v>17765</v>
      </c>
      <c r="J1455" s="19">
        <f aca="true" t="shared" si="254" ref="J1455:J1473">I1455/E1455</f>
        <v>0.1708518066147972</v>
      </c>
      <c r="K1455" s="95" t="s">
        <v>384</v>
      </c>
      <c r="L1455" s="119">
        <v>69.13</v>
      </c>
      <c r="M1455" s="41">
        <f aca="true" t="shared" si="255" ref="M1455:M1473">C1455*0.93</f>
        <v>60.431400000000004</v>
      </c>
      <c r="N1455" s="117">
        <v>88.5</v>
      </c>
      <c r="O1455" s="121">
        <v>42300</v>
      </c>
      <c r="P1455" s="116" t="s">
        <v>383</v>
      </c>
      <c r="Q1455" s="117">
        <v>80.85</v>
      </c>
      <c r="R1455" s="118">
        <f>Q1455*0.855</f>
        <v>69.12674999999999</v>
      </c>
      <c r="S1455" s="117">
        <f>1.11*C1455</f>
        <v>72.12780000000001</v>
      </c>
      <c r="T1455" s="116"/>
    </row>
    <row r="1456" spans="1:20" s="114" customFormat="1" ht="15">
      <c r="A1456" s="12" t="s">
        <v>383</v>
      </c>
      <c r="B1456" s="13">
        <v>42242.53611111111</v>
      </c>
      <c r="C1456" s="14">
        <v>67.31</v>
      </c>
      <c r="D1456" s="15">
        <v>900</v>
      </c>
      <c r="E1456" s="15">
        <f t="shared" si="251"/>
        <v>60590</v>
      </c>
      <c r="F1456" s="13"/>
      <c r="G1456" s="14">
        <v>76.09</v>
      </c>
      <c r="H1456" s="15">
        <f t="shared" si="252"/>
        <v>68481</v>
      </c>
      <c r="I1456" s="16">
        <f t="shared" si="253"/>
        <v>7891</v>
      </c>
      <c r="J1456" s="19">
        <f t="shared" si="254"/>
        <v>0.13023601254332398</v>
      </c>
      <c r="K1456" s="95" t="s">
        <v>386</v>
      </c>
      <c r="L1456" s="119">
        <v>69.13</v>
      </c>
      <c r="M1456" s="41">
        <f t="shared" si="255"/>
        <v>62.59830000000001</v>
      </c>
      <c r="N1456" s="117">
        <v>89.5</v>
      </c>
      <c r="P1456" s="116" t="s">
        <v>383</v>
      </c>
      <c r="Q1456" s="117"/>
      <c r="R1456" s="117"/>
      <c r="S1456" s="117"/>
      <c r="T1456" s="116"/>
    </row>
    <row r="1457" spans="1:20" s="114" customFormat="1" ht="15">
      <c r="A1457" s="12" t="s">
        <v>383</v>
      </c>
      <c r="B1457" s="13">
        <v>42243.32013888889</v>
      </c>
      <c r="C1457" s="14">
        <v>69.5</v>
      </c>
      <c r="D1457" s="15">
        <v>570</v>
      </c>
      <c r="E1457" s="15">
        <f t="shared" si="251"/>
        <v>39626</v>
      </c>
      <c r="F1457" s="13"/>
      <c r="G1457" s="14">
        <v>76.09</v>
      </c>
      <c r="H1457" s="15">
        <f t="shared" si="252"/>
        <v>43371.3</v>
      </c>
      <c r="I1457" s="16">
        <f t="shared" si="253"/>
        <v>3745.300000000003</v>
      </c>
      <c r="J1457" s="19">
        <f t="shared" si="254"/>
        <v>0.09451622671983048</v>
      </c>
      <c r="K1457" s="95" t="s">
        <v>385</v>
      </c>
      <c r="L1457" s="119">
        <v>69.13</v>
      </c>
      <c r="M1457" s="41">
        <f t="shared" si="255"/>
        <v>64.635</v>
      </c>
      <c r="N1457" s="117">
        <v>89.5</v>
      </c>
      <c r="P1457" s="116" t="s">
        <v>383</v>
      </c>
      <c r="Q1457" s="117"/>
      <c r="R1457" s="117"/>
      <c r="S1457" s="117"/>
      <c r="T1457" s="116"/>
    </row>
    <row r="1458" spans="1:20" s="114" customFormat="1" ht="15">
      <c r="A1458" s="12" t="s">
        <v>383</v>
      </c>
      <c r="B1458" s="13">
        <v>42282.29236111111</v>
      </c>
      <c r="C1458" s="14">
        <v>73.5</v>
      </c>
      <c r="D1458" s="15">
        <v>620</v>
      </c>
      <c r="E1458" s="15">
        <f t="shared" si="251"/>
        <v>45581</v>
      </c>
      <c r="F1458" s="13"/>
      <c r="G1458" s="14">
        <v>76.09</v>
      </c>
      <c r="H1458" s="15">
        <f t="shared" si="252"/>
        <v>47175.8</v>
      </c>
      <c r="I1458" s="16">
        <f t="shared" si="253"/>
        <v>1594.800000000003</v>
      </c>
      <c r="J1458" s="19">
        <f t="shared" si="254"/>
        <v>0.03498826265329859</v>
      </c>
      <c r="K1458" s="95" t="s">
        <v>446</v>
      </c>
      <c r="L1458" s="119">
        <v>69.13</v>
      </c>
      <c r="M1458" s="41">
        <f t="shared" si="255"/>
        <v>68.355</v>
      </c>
      <c r="N1458" s="117">
        <v>89.5</v>
      </c>
      <c r="P1458" s="116" t="s">
        <v>383</v>
      </c>
      <c r="Q1458" s="117"/>
      <c r="R1458" s="117"/>
      <c r="S1458" s="117"/>
      <c r="T1458" s="116"/>
    </row>
    <row r="1459" spans="1:20" s="114" customFormat="1" ht="15">
      <c r="A1459" s="12" t="s">
        <v>388</v>
      </c>
      <c r="B1459" s="13">
        <v>42244.365277777775</v>
      </c>
      <c r="C1459" s="14">
        <v>139.5</v>
      </c>
      <c r="D1459" s="15">
        <v>720</v>
      </c>
      <c r="E1459" s="15">
        <f t="shared" si="251"/>
        <v>100451</v>
      </c>
      <c r="F1459" s="13"/>
      <c r="G1459" s="14">
        <v>170.36</v>
      </c>
      <c r="H1459" s="15">
        <f t="shared" si="252"/>
        <v>122659.20000000001</v>
      </c>
      <c r="I1459" s="16">
        <f t="shared" si="253"/>
        <v>22208.20000000001</v>
      </c>
      <c r="J1459" s="19">
        <f t="shared" si="254"/>
        <v>0.2210849070691184</v>
      </c>
      <c r="K1459" s="95" t="s">
        <v>387</v>
      </c>
      <c r="L1459" s="119">
        <v>153.31</v>
      </c>
      <c r="M1459" s="41">
        <f t="shared" si="255"/>
        <v>129.735</v>
      </c>
      <c r="N1459" s="117">
        <v>179.43</v>
      </c>
      <c r="O1459" s="121">
        <v>42313</v>
      </c>
      <c r="P1459" s="116" t="s">
        <v>388</v>
      </c>
      <c r="Q1459" s="117">
        <v>179.31</v>
      </c>
      <c r="R1459" s="118">
        <f>Q1459*0.855</f>
        <v>153.31005</v>
      </c>
      <c r="S1459" s="117">
        <f>1.11*C1459</f>
        <v>154.84500000000003</v>
      </c>
      <c r="T1459" s="116"/>
    </row>
    <row r="1460" spans="1:20" s="114" customFormat="1" ht="15">
      <c r="A1460" s="12" t="s">
        <v>388</v>
      </c>
      <c r="B1460" s="13">
        <v>42255.47430555556</v>
      </c>
      <c r="C1460" s="14">
        <v>141.06</v>
      </c>
      <c r="D1460" s="15">
        <v>430</v>
      </c>
      <c r="E1460" s="15">
        <f t="shared" si="251"/>
        <v>60666.8</v>
      </c>
      <c r="F1460" s="13"/>
      <c r="G1460" s="14">
        <v>170.36</v>
      </c>
      <c r="H1460" s="15">
        <f t="shared" si="252"/>
        <v>73254.8</v>
      </c>
      <c r="I1460" s="16">
        <f t="shared" si="253"/>
        <v>12588</v>
      </c>
      <c r="J1460" s="19">
        <f t="shared" si="254"/>
        <v>0.20749404946362754</v>
      </c>
      <c r="K1460" s="95" t="s">
        <v>394</v>
      </c>
      <c r="L1460" s="119">
        <v>153.31</v>
      </c>
      <c r="M1460" s="41">
        <f t="shared" si="255"/>
        <v>131.1858</v>
      </c>
      <c r="N1460" s="117">
        <v>179.43</v>
      </c>
      <c r="O1460" s="113"/>
      <c r="P1460" s="116" t="s">
        <v>388</v>
      </c>
      <c r="Q1460" s="117"/>
      <c r="R1460" s="118"/>
      <c r="S1460" s="117"/>
      <c r="T1460" s="116"/>
    </row>
    <row r="1461" spans="1:20" s="114" customFormat="1" ht="15">
      <c r="A1461" s="12" t="s">
        <v>388</v>
      </c>
      <c r="B1461" s="13">
        <v>42257.325</v>
      </c>
      <c r="C1461" s="14">
        <v>143.71</v>
      </c>
      <c r="D1461" s="15">
        <v>280</v>
      </c>
      <c r="E1461" s="15">
        <f t="shared" si="251"/>
        <v>40249.8</v>
      </c>
      <c r="F1461" s="13"/>
      <c r="G1461" s="14">
        <v>170.36</v>
      </c>
      <c r="H1461" s="15">
        <f t="shared" si="252"/>
        <v>47700.8</v>
      </c>
      <c r="I1461" s="16">
        <f t="shared" si="253"/>
        <v>7451</v>
      </c>
      <c r="J1461" s="19">
        <f t="shared" si="254"/>
        <v>0.18511893226798642</v>
      </c>
      <c r="K1461" s="95" t="s">
        <v>395</v>
      </c>
      <c r="L1461" s="119">
        <v>153.31</v>
      </c>
      <c r="M1461" s="41">
        <f t="shared" si="255"/>
        <v>133.65030000000002</v>
      </c>
      <c r="N1461" s="117">
        <v>179.43</v>
      </c>
      <c r="O1461" s="113"/>
      <c r="P1461" s="116" t="s">
        <v>388</v>
      </c>
      <c r="Q1461" s="117"/>
      <c r="R1461" s="118"/>
      <c r="S1461" s="117"/>
      <c r="T1461" s="116"/>
    </row>
    <row r="1462" spans="1:20" s="114" customFormat="1" ht="15">
      <c r="A1462" s="12" t="s">
        <v>388</v>
      </c>
      <c r="B1462" s="13">
        <v>42278.46111111111</v>
      </c>
      <c r="C1462" s="14">
        <v>161.21</v>
      </c>
      <c r="D1462" s="15">
        <v>290</v>
      </c>
      <c r="E1462" s="15">
        <f t="shared" si="251"/>
        <v>46761.9</v>
      </c>
      <c r="F1462" s="13"/>
      <c r="G1462" s="14">
        <v>170.36</v>
      </c>
      <c r="H1462" s="15">
        <f t="shared" si="252"/>
        <v>49404.4</v>
      </c>
      <c r="I1462" s="16">
        <f t="shared" si="253"/>
        <v>2642.5</v>
      </c>
      <c r="J1462" s="19">
        <f t="shared" si="254"/>
        <v>0.05650967988896944</v>
      </c>
      <c r="K1462" s="95" t="s">
        <v>435</v>
      </c>
      <c r="L1462" s="119">
        <v>153.31</v>
      </c>
      <c r="M1462" s="41">
        <f t="shared" si="255"/>
        <v>149.92530000000002</v>
      </c>
      <c r="N1462" s="117">
        <v>179.43</v>
      </c>
      <c r="O1462" s="113"/>
      <c r="P1462" s="116" t="s">
        <v>388</v>
      </c>
      <c r="Q1462" s="117"/>
      <c r="R1462" s="118"/>
      <c r="S1462" s="117"/>
      <c r="T1462" s="116"/>
    </row>
    <row r="1463" spans="1:20" s="114" customFormat="1" ht="15">
      <c r="A1463" s="12" t="s">
        <v>388</v>
      </c>
      <c r="B1463" s="13">
        <v>42292.538194444445</v>
      </c>
      <c r="C1463" s="14">
        <v>170.78</v>
      </c>
      <c r="D1463" s="15">
        <v>350</v>
      </c>
      <c r="E1463" s="15">
        <f t="shared" si="251"/>
        <v>59784</v>
      </c>
      <c r="F1463" s="13"/>
      <c r="G1463" s="14">
        <v>170.36</v>
      </c>
      <c r="H1463" s="15">
        <f t="shared" si="252"/>
        <v>59626.00000000001</v>
      </c>
      <c r="I1463" s="16">
        <f t="shared" si="253"/>
        <v>-157.99999999999272</v>
      </c>
      <c r="J1463" s="19">
        <f t="shared" si="254"/>
        <v>-0.0026428475846379086</v>
      </c>
      <c r="K1463" s="95" t="s">
        <v>447</v>
      </c>
      <c r="L1463" s="119"/>
      <c r="M1463" s="20">
        <f t="shared" si="255"/>
        <v>158.8254</v>
      </c>
      <c r="N1463" s="117">
        <v>179.43</v>
      </c>
      <c r="O1463" s="113"/>
      <c r="P1463" s="116" t="s">
        <v>388</v>
      </c>
      <c r="Q1463" s="117"/>
      <c r="R1463" s="118"/>
      <c r="S1463" s="117"/>
      <c r="T1463" s="116"/>
    </row>
    <row r="1464" spans="1:20" s="114" customFormat="1" ht="15">
      <c r="A1464" s="12" t="s">
        <v>406</v>
      </c>
      <c r="B1464" s="13">
        <v>42262.37986111111</v>
      </c>
      <c r="C1464" s="14">
        <v>71.51</v>
      </c>
      <c r="D1464" s="15">
        <v>1400</v>
      </c>
      <c r="E1464" s="15">
        <f t="shared" si="251"/>
        <v>100125</v>
      </c>
      <c r="F1464" s="13"/>
      <c r="G1464" s="14">
        <v>77.71</v>
      </c>
      <c r="H1464" s="15">
        <f t="shared" si="252"/>
        <v>108793.99999999999</v>
      </c>
      <c r="I1464" s="16">
        <f t="shared" si="253"/>
        <v>8668.999999999985</v>
      </c>
      <c r="J1464" s="19">
        <f t="shared" si="254"/>
        <v>0.08658177278401984</v>
      </c>
      <c r="K1464" s="95" t="s">
        <v>417</v>
      </c>
      <c r="L1464" s="119">
        <v>67.87</v>
      </c>
      <c r="M1464" s="41">
        <f t="shared" si="255"/>
        <v>66.50430000000001</v>
      </c>
      <c r="N1464" s="117">
        <v>93.15</v>
      </c>
      <c r="O1464" s="121">
        <v>42339</v>
      </c>
      <c r="P1464" s="116" t="s">
        <v>406</v>
      </c>
      <c r="Q1464" s="117">
        <v>79.38</v>
      </c>
      <c r="R1464" s="118">
        <f>Q1464*0.855</f>
        <v>67.8699</v>
      </c>
      <c r="S1464" s="117">
        <f>1.11*C1464</f>
        <v>79.37610000000001</v>
      </c>
      <c r="T1464" s="116"/>
    </row>
    <row r="1465" spans="1:20" s="114" customFormat="1" ht="15">
      <c r="A1465" s="12" t="s">
        <v>406</v>
      </c>
      <c r="B1465" s="13">
        <v>42272.38680555556</v>
      </c>
      <c r="C1465" s="14">
        <v>73.36</v>
      </c>
      <c r="D1465" s="15">
        <v>820</v>
      </c>
      <c r="E1465" s="15">
        <f t="shared" si="251"/>
        <v>60166.2</v>
      </c>
      <c r="F1465" s="13"/>
      <c r="G1465" s="14">
        <v>77.71</v>
      </c>
      <c r="H1465" s="15">
        <f t="shared" si="252"/>
        <v>63722.2</v>
      </c>
      <c r="I1465" s="16">
        <f t="shared" si="253"/>
        <v>3556</v>
      </c>
      <c r="J1465" s="19">
        <f t="shared" si="254"/>
        <v>0.0591029514910365</v>
      </c>
      <c r="K1465" s="95" t="s">
        <v>426</v>
      </c>
      <c r="L1465" s="119"/>
      <c r="M1465" s="20">
        <f t="shared" si="255"/>
        <v>68.2248</v>
      </c>
      <c r="N1465" s="117">
        <v>93.15</v>
      </c>
      <c r="O1465" s="87"/>
      <c r="P1465" s="116" t="s">
        <v>406</v>
      </c>
      <c r="Q1465" s="117"/>
      <c r="R1465" s="118"/>
      <c r="S1465" s="117"/>
      <c r="T1465" s="116"/>
    </row>
    <row r="1466" spans="1:20" s="114" customFormat="1" ht="15">
      <c r="A1466" s="12" t="s">
        <v>406</v>
      </c>
      <c r="B1466" s="13">
        <v>42279.53611111111</v>
      </c>
      <c r="C1466" s="14">
        <v>73.86</v>
      </c>
      <c r="D1466" s="15">
        <v>550</v>
      </c>
      <c r="E1466" s="15">
        <f t="shared" si="251"/>
        <v>40634</v>
      </c>
      <c r="F1466" s="13"/>
      <c r="G1466" s="14">
        <v>77.71</v>
      </c>
      <c r="H1466" s="15">
        <f t="shared" si="252"/>
        <v>42740.5</v>
      </c>
      <c r="I1466" s="16">
        <f t="shared" si="253"/>
        <v>2106.5</v>
      </c>
      <c r="J1466" s="19">
        <f t="shared" si="254"/>
        <v>0.0518408229561451</v>
      </c>
      <c r="K1466" s="95" t="s">
        <v>425</v>
      </c>
      <c r="L1466" s="119"/>
      <c r="M1466" s="20">
        <f t="shared" si="255"/>
        <v>68.6898</v>
      </c>
      <c r="N1466" s="117">
        <v>93.15</v>
      </c>
      <c r="O1466" s="87"/>
      <c r="P1466" s="116" t="s">
        <v>406</v>
      </c>
      <c r="Q1466" s="117"/>
      <c r="R1466" s="118"/>
      <c r="S1466" s="117"/>
      <c r="T1466" s="116"/>
    </row>
    <row r="1467" spans="1:20" s="114" customFormat="1" ht="15">
      <c r="A1467" s="12" t="s">
        <v>63</v>
      </c>
      <c r="B1467" s="13">
        <v>42279.495833333334</v>
      </c>
      <c r="C1467" s="14">
        <v>24.24</v>
      </c>
      <c r="D1467" s="15">
        <v>4150</v>
      </c>
      <c r="E1467" s="15">
        <f t="shared" si="251"/>
        <v>100607</v>
      </c>
      <c r="F1467" s="13"/>
      <c r="G1467" s="14">
        <v>29.77</v>
      </c>
      <c r="H1467" s="15">
        <f t="shared" si="252"/>
        <v>123545.5</v>
      </c>
      <c r="I1467" s="16">
        <f t="shared" si="253"/>
        <v>22938.5</v>
      </c>
      <c r="J1467" s="19">
        <f t="shared" si="254"/>
        <v>0.22800103372528752</v>
      </c>
      <c r="K1467" s="95" t="s">
        <v>439</v>
      </c>
      <c r="L1467" s="119">
        <v>26.87</v>
      </c>
      <c r="M1467" s="41">
        <f t="shared" si="255"/>
        <v>22.5432</v>
      </c>
      <c r="N1467" s="117">
        <v>31.93</v>
      </c>
      <c r="O1467" s="121">
        <v>42339</v>
      </c>
      <c r="P1467" s="116" t="s">
        <v>63</v>
      </c>
      <c r="Q1467" s="117">
        <v>31.43</v>
      </c>
      <c r="R1467" s="118">
        <f>Q1467*0.855</f>
        <v>26.87265</v>
      </c>
      <c r="S1467" s="117">
        <f>1.11*C1467</f>
        <v>26.9064</v>
      </c>
      <c r="T1467" s="116"/>
    </row>
    <row r="1468" spans="1:20" s="114" customFormat="1" ht="15">
      <c r="A1468" s="12" t="s">
        <v>63</v>
      </c>
      <c r="B1468" s="13">
        <v>42282.274305555555</v>
      </c>
      <c r="C1468" s="14">
        <v>24.95</v>
      </c>
      <c r="D1468" s="15">
        <v>2400</v>
      </c>
      <c r="E1468" s="15">
        <f t="shared" si="251"/>
        <v>59891</v>
      </c>
      <c r="F1468" s="13"/>
      <c r="G1468" s="14">
        <v>29.77</v>
      </c>
      <c r="H1468" s="15">
        <f t="shared" si="252"/>
        <v>71448</v>
      </c>
      <c r="I1468" s="16">
        <f t="shared" si="253"/>
        <v>11557</v>
      </c>
      <c r="J1468" s="19">
        <f t="shared" si="254"/>
        <v>0.19296722378988496</v>
      </c>
      <c r="K1468" s="95" t="s">
        <v>437</v>
      </c>
      <c r="L1468" s="119">
        <v>26.87</v>
      </c>
      <c r="M1468" s="41">
        <f t="shared" si="255"/>
        <v>23.203500000000002</v>
      </c>
      <c r="N1468" s="117">
        <v>31.93</v>
      </c>
      <c r="O1468" s="87"/>
      <c r="P1468" s="116" t="s">
        <v>63</v>
      </c>
      <c r="Q1468" s="117"/>
      <c r="R1468" s="118"/>
      <c r="S1468" s="117"/>
      <c r="T1468" s="116"/>
    </row>
    <row r="1469" spans="1:20" s="114" customFormat="1" ht="15">
      <c r="A1469" s="12" t="s">
        <v>63</v>
      </c>
      <c r="B1469" s="13">
        <v>42282.41111111111</v>
      </c>
      <c r="C1469" s="14">
        <v>25.39</v>
      </c>
      <c r="D1469" s="15">
        <v>1600</v>
      </c>
      <c r="E1469" s="15">
        <f t="shared" si="251"/>
        <v>40635</v>
      </c>
      <c r="F1469" s="13"/>
      <c r="G1469" s="14">
        <v>29.77</v>
      </c>
      <c r="H1469" s="15">
        <f t="shared" si="252"/>
        <v>47632</v>
      </c>
      <c r="I1469" s="16">
        <f t="shared" si="253"/>
        <v>6997</v>
      </c>
      <c r="J1469" s="19">
        <f t="shared" si="254"/>
        <v>0.17219146056355358</v>
      </c>
      <c r="K1469" s="95" t="s">
        <v>438</v>
      </c>
      <c r="L1469" s="119">
        <v>26.87</v>
      </c>
      <c r="M1469" s="41">
        <f t="shared" si="255"/>
        <v>23.6127</v>
      </c>
      <c r="N1469" s="117">
        <v>31.93</v>
      </c>
      <c r="O1469" s="87"/>
      <c r="P1469" s="116" t="s">
        <v>63</v>
      </c>
      <c r="Q1469" s="117"/>
      <c r="R1469" s="118"/>
      <c r="S1469" s="117"/>
      <c r="T1469" s="116"/>
    </row>
    <row r="1470" spans="1:20" s="114" customFormat="1" ht="15">
      <c r="A1470" s="12" t="s">
        <v>418</v>
      </c>
      <c r="B1470" s="13">
        <v>42279.50763888889</v>
      </c>
      <c r="C1470" s="14">
        <v>20.86</v>
      </c>
      <c r="D1470" s="15">
        <v>4800</v>
      </c>
      <c r="E1470" s="15">
        <f t="shared" si="251"/>
        <v>100139</v>
      </c>
      <c r="F1470" s="13"/>
      <c r="G1470" s="14">
        <v>25.5</v>
      </c>
      <c r="H1470" s="15">
        <f t="shared" si="252"/>
        <v>122400</v>
      </c>
      <c r="I1470" s="16">
        <f t="shared" si="253"/>
        <v>22261</v>
      </c>
      <c r="J1470" s="19">
        <f t="shared" si="254"/>
        <v>0.2223010016077652</v>
      </c>
      <c r="K1470" s="95" t="s">
        <v>430</v>
      </c>
      <c r="L1470" s="119">
        <v>22.63</v>
      </c>
      <c r="M1470" s="41">
        <f t="shared" si="255"/>
        <v>19.3998</v>
      </c>
      <c r="N1470" s="117">
        <v>25.86</v>
      </c>
      <c r="O1470" s="121">
        <v>42338</v>
      </c>
      <c r="P1470" s="116" t="s">
        <v>418</v>
      </c>
      <c r="Q1470" s="117">
        <v>26.47</v>
      </c>
      <c r="R1470" s="118">
        <f>Q1470*0.855</f>
        <v>22.63185</v>
      </c>
      <c r="S1470" s="117">
        <f>1.11*C1470</f>
        <v>23.154600000000002</v>
      </c>
      <c r="T1470" s="116"/>
    </row>
    <row r="1471" spans="1:20" s="114" customFormat="1" ht="15">
      <c r="A1471" s="12" t="s">
        <v>418</v>
      </c>
      <c r="B1471" s="13">
        <v>42283.475</v>
      </c>
      <c r="C1471" s="14">
        <v>21.31</v>
      </c>
      <c r="D1471" s="15">
        <v>2820</v>
      </c>
      <c r="E1471" s="15">
        <f t="shared" si="251"/>
        <v>60105.2</v>
      </c>
      <c r="F1471" s="13"/>
      <c r="G1471" s="14">
        <v>25.5</v>
      </c>
      <c r="H1471" s="15">
        <f t="shared" si="252"/>
        <v>71910</v>
      </c>
      <c r="I1471" s="16">
        <f t="shared" si="253"/>
        <v>11804.800000000003</v>
      </c>
      <c r="J1471" s="19">
        <f t="shared" si="254"/>
        <v>0.19640230795338845</v>
      </c>
      <c r="K1471" s="95" t="s">
        <v>440</v>
      </c>
      <c r="L1471" s="119">
        <v>22.63</v>
      </c>
      <c r="M1471" s="41">
        <f t="shared" si="255"/>
        <v>19.8183</v>
      </c>
      <c r="N1471" s="117">
        <v>25.86</v>
      </c>
      <c r="O1471" s="87"/>
      <c r="P1471" s="116" t="s">
        <v>418</v>
      </c>
      <c r="Q1471" s="117"/>
      <c r="R1471" s="118"/>
      <c r="S1471" s="117"/>
      <c r="T1471" s="116"/>
    </row>
    <row r="1472" spans="1:20" s="114" customFormat="1" ht="15">
      <c r="A1472" s="12" t="s">
        <v>418</v>
      </c>
      <c r="B1472" s="13">
        <v>42290.29583333333</v>
      </c>
      <c r="C1472" s="14">
        <v>21.78</v>
      </c>
      <c r="D1472" s="15">
        <v>1850</v>
      </c>
      <c r="E1472" s="15">
        <f t="shared" si="251"/>
        <v>40304</v>
      </c>
      <c r="F1472" s="13"/>
      <c r="G1472" s="14">
        <v>25.5</v>
      </c>
      <c r="H1472" s="15">
        <f t="shared" si="252"/>
        <v>47175</v>
      </c>
      <c r="I1472" s="16">
        <f t="shared" si="253"/>
        <v>6871</v>
      </c>
      <c r="J1472" s="19">
        <f t="shared" si="254"/>
        <v>0.17047935688765384</v>
      </c>
      <c r="K1472" s="95" t="s">
        <v>443</v>
      </c>
      <c r="L1472" s="119">
        <v>22.63</v>
      </c>
      <c r="M1472" s="41">
        <f t="shared" si="255"/>
        <v>20.2554</v>
      </c>
      <c r="N1472" s="117">
        <v>25.86</v>
      </c>
      <c r="O1472" s="87"/>
      <c r="P1472" s="116" t="s">
        <v>418</v>
      </c>
      <c r="Q1472" s="117"/>
      <c r="R1472" s="118"/>
      <c r="S1472" s="117"/>
      <c r="T1472" s="116"/>
    </row>
    <row r="1473" spans="1:20" s="114" customFormat="1" ht="15">
      <c r="A1473" s="12" t="s">
        <v>433</v>
      </c>
      <c r="B1473" s="13">
        <v>42279.53611111111</v>
      </c>
      <c r="C1473" s="14">
        <v>182.34</v>
      </c>
      <c r="D1473" s="15">
        <v>550</v>
      </c>
      <c r="E1473" s="15">
        <f t="shared" si="251"/>
        <v>100298</v>
      </c>
      <c r="F1473" s="13"/>
      <c r="G1473" s="14">
        <v>204.35</v>
      </c>
      <c r="H1473" s="15">
        <f t="shared" si="252"/>
        <v>112392.5</v>
      </c>
      <c r="I1473" s="16">
        <f t="shared" si="253"/>
        <v>12094.5</v>
      </c>
      <c r="J1473" s="19">
        <f t="shared" si="254"/>
        <v>0.12058565474884843</v>
      </c>
      <c r="K1473" s="95" t="s">
        <v>444</v>
      </c>
      <c r="L1473" s="119">
        <v>179.21</v>
      </c>
      <c r="M1473" s="41">
        <f t="shared" si="255"/>
        <v>169.5762</v>
      </c>
      <c r="N1473" s="117">
        <v>232.76</v>
      </c>
      <c r="O1473" s="121">
        <v>42341</v>
      </c>
      <c r="P1473" s="116" t="s">
        <v>433</v>
      </c>
      <c r="Q1473" s="117">
        <v>209.6</v>
      </c>
      <c r="R1473" s="118">
        <f>Q1473*0.855</f>
        <v>179.208</v>
      </c>
      <c r="S1473" s="117">
        <f>1.11*C1473</f>
        <v>202.39740000000003</v>
      </c>
      <c r="T1473" s="116"/>
    </row>
    <row r="1474" spans="1:20" s="114" customFormat="1" ht="15">
      <c r="A1474" s="12"/>
      <c r="B1474" s="13"/>
      <c r="C1474" s="14"/>
      <c r="D1474" s="15"/>
      <c r="E1474" s="15"/>
      <c r="G1474" s="14"/>
      <c r="H1474" s="15"/>
      <c r="I1474" s="16"/>
      <c r="J1474" s="19"/>
      <c r="K1474" s="95"/>
      <c r="L1474" s="119"/>
      <c r="M1474" s="32"/>
      <c r="N1474" s="117"/>
      <c r="P1474" s="116"/>
      <c r="Q1474" s="117"/>
      <c r="R1474" s="117"/>
      <c r="S1474" s="117"/>
      <c r="T1474" s="116"/>
    </row>
    <row r="1475" spans="1:33" s="114" customFormat="1" ht="15">
      <c r="A1475" s="21" t="s">
        <v>14</v>
      </c>
      <c r="B1475" s="22"/>
      <c r="C1475" s="23"/>
      <c r="D1475" s="24"/>
      <c r="E1475" s="24">
        <f>SUM(E1455:E1474)</f>
        <v>1260593.9</v>
      </c>
      <c r="F1475" s="13"/>
      <c r="G1475" s="23"/>
      <c r="H1475" s="24">
        <f>SUM(H1455:H1474)</f>
        <v>1445177</v>
      </c>
      <c r="I1475" s="25">
        <f>SUM(I1455:I1474)</f>
        <v>184583.09999999998</v>
      </c>
      <c r="J1475" s="26">
        <f>I1475/E1475</f>
        <v>0.1464255062633573</v>
      </c>
      <c r="K1475" s="27" t="s">
        <v>15</v>
      </c>
      <c r="L1475" s="28">
        <f>100000+I1477</f>
        <v>755028.3099999999</v>
      </c>
      <c r="M1475" s="81"/>
      <c r="N1475" s="89"/>
      <c r="Q1475" s="117"/>
      <c r="R1475" s="117"/>
      <c r="S1475" s="117"/>
      <c r="T1475" s="116"/>
      <c r="X1475" s="114" t="s">
        <v>371</v>
      </c>
      <c r="Z1475" s="114" t="s">
        <v>17</v>
      </c>
      <c r="AC1475" s="114" t="s">
        <v>372</v>
      </c>
      <c r="AE1475" s="114" t="s">
        <v>373</v>
      </c>
      <c r="AG1475" s="114" t="s">
        <v>374</v>
      </c>
    </row>
    <row r="1476" spans="1:33" s="114" customFormat="1" ht="15">
      <c r="A1476" s="12" t="s">
        <v>67</v>
      </c>
      <c r="B1476" s="22"/>
      <c r="C1476" s="25">
        <f>I1477-I1450</f>
        <v>-11027</v>
      </c>
      <c r="D1476" s="26">
        <f>C1476/H1448</f>
        <v>-0.006342898702981617</v>
      </c>
      <c r="E1476" s="24"/>
      <c r="F1476" s="22" t="s">
        <v>16</v>
      </c>
      <c r="G1476" s="117"/>
      <c r="H1476" s="29" t="str">
        <f>IF(ABS(H1475-E1475-I1475)&lt;1,"","ERROR")</f>
        <v/>
      </c>
      <c r="I1476" s="45">
        <v>470445.20999999996</v>
      </c>
      <c r="J1476" s="26"/>
      <c r="K1476" s="111" t="s">
        <v>17</v>
      </c>
      <c r="L1476" s="28">
        <f>(2*(100000+I1477))-E1475</f>
        <v>249462.71999999997</v>
      </c>
      <c r="M1476" s="31"/>
      <c r="Q1476" s="117"/>
      <c r="R1476" s="117"/>
      <c r="S1476" s="117"/>
      <c r="T1476" s="116"/>
      <c r="X1476" s="29" t="e">
        <f>E1475-#REF!-#REF!-#REF!</f>
        <v>#REF!</v>
      </c>
      <c r="Z1476" s="29">
        <f>E1475+L1476</f>
        <v>1510056.6199999999</v>
      </c>
      <c r="AC1476" s="29" t="e">
        <f>#REF!+#REF!+#REF!</f>
        <v>#REF!</v>
      </c>
      <c r="AE1476" s="29" t="e">
        <f>X1476-AC1476</f>
        <v>#REF!</v>
      </c>
      <c r="AG1476" s="155" t="e">
        <f>AE1476/Z1476</f>
        <v>#REF!</v>
      </c>
    </row>
    <row r="1477" spans="1:20" s="114" customFormat="1" ht="15">
      <c r="A1477" s="12" t="s">
        <v>54</v>
      </c>
      <c r="B1477" s="22"/>
      <c r="C1477" s="25">
        <f>L1475-L1448</f>
        <v>-11027</v>
      </c>
      <c r="D1477" s="26">
        <f>C1477/L1448</f>
        <v>-0.014394521983014517</v>
      </c>
      <c r="E1477" s="24"/>
      <c r="F1477" s="22" t="s">
        <v>18</v>
      </c>
      <c r="G1477" s="117"/>
      <c r="H1477" s="29"/>
      <c r="I1477" s="30">
        <f>I1475+I1476</f>
        <v>655028.3099999999</v>
      </c>
      <c r="J1477" s="26">
        <f>I1477/100000</f>
        <v>6.5502831</v>
      </c>
      <c r="K1477" s="111" t="s">
        <v>19</v>
      </c>
      <c r="L1477" s="26">
        <f>E1475/(2*(100000+I1477))</f>
        <v>0.8347990951491607</v>
      </c>
      <c r="M1477" s="31"/>
      <c r="Q1477" s="117"/>
      <c r="R1477" s="117"/>
      <c r="S1477" s="117"/>
      <c r="T1477" s="116"/>
    </row>
    <row r="1478" spans="1:20" s="114" customFormat="1" ht="15">
      <c r="A1478" s="114">
        <v>7</v>
      </c>
      <c r="B1478" s="22"/>
      <c r="C1478" s="25"/>
      <c r="D1478" s="26"/>
      <c r="E1478" s="24"/>
      <c r="G1478" s="117"/>
      <c r="H1478" s="29"/>
      <c r="I1478" s="30"/>
      <c r="J1478" s="26"/>
      <c r="K1478" s="111"/>
      <c r="L1478" s="26"/>
      <c r="M1478" s="31"/>
      <c r="Q1478" s="117"/>
      <c r="R1478" s="117"/>
      <c r="S1478" s="117"/>
      <c r="T1478" s="116"/>
    </row>
    <row r="1479" spans="2:20" s="114" customFormat="1" ht="15">
      <c r="B1479" s="22"/>
      <c r="C1479" s="25"/>
      <c r="D1479" s="26"/>
      <c r="E1479" s="24"/>
      <c r="F1479" s="22"/>
      <c r="G1479" s="117"/>
      <c r="H1479" s="29"/>
      <c r="I1479" s="30"/>
      <c r="J1479" s="26"/>
      <c r="K1479" s="111"/>
      <c r="L1479" s="26"/>
      <c r="M1479" s="31"/>
      <c r="Q1479" s="117"/>
      <c r="R1479" s="117"/>
      <c r="S1479" s="117"/>
      <c r="T1479" s="116"/>
    </row>
    <row r="1480" spans="2:20" s="114" customFormat="1" ht="15">
      <c r="B1480" s="22"/>
      <c r="C1480" s="25"/>
      <c r="D1480" s="26"/>
      <c r="E1480" s="24"/>
      <c r="F1480" s="22"/>
      <c r="G1480" s="117"/>
      <c r="H1480" s="29"/>
      <c r="I1480" s="30"/>
      <c r="J1480" s="26"/>
      <c r="K1480" s="111"/>
      <c r="L1480" s="26"/>
      <c r="M1480" s="31"/>
      <c r="Q1480" s="117"/>
      <c r="R1480" s="117"/>
      <c r="S1480" s="117"/>
      <c r="T1480" s="116"/>
    </row>
    <row r="1481" spans="2:20" s="114" customFormat="1" ht="15">
      <c r="B1481" s="22"/>
      <c r="C1481" s="25"/>
      <c r="D1481" s="26"/>
      <c r="E1481" s="24"/>
      <c r="F1481" s="22"/>
      <c r="G1481" s="117"/>
      <c r="H1481" s="29"/>
      <c r="I1481" s="30"/>
      <c r="J1481" s="26"/>
      <c r="K1481" s="111"/>
      <c r="L1481" s="26"/>
      <c r="M1481" s="31"/>
      <c r="Q1481" s="117"/>
      <c r="R1481" s="117"/>
      <c r="S1481" s="117"/>
      <c r="T1481" s="116"/>
    </row>
    <row r="1482" spans="2:20" s="114" customFormat="1" ht="15">
      <c r="B1482" s="22"/>
      <c r="C1482" s="25"/>
      <c r="D1482" s="26"/>
      <c r="E1482" s="24"/>
      <c r="F1482" s="22"/>
      <c r="G1482" s="117"/>
      <c r="H1482" s="29"/>
      <c r="I1482" s="30"/>
      <c r="J1482" s="26"/>
      <c r="K1482" s="111"/>
      <c r="L1482" s="26"/>
      <c r="M1482" s="31"/>
      <c r="Q1482" s="117"/>
      <c r="R1482" s="117"/>
      <c r="S1482" s="117"/>
      <c r="T1482" s="116"/>
    </row>
    <row r="1483" spans="2:20" s="114" customFormat="1" ht="15">
      <c r="B1483" s="22"/>
      <c r="C1483" s="25"/>
      <c r="D1483" s="26"/>
      <c r="E1483" s="24"/>
      <c r="F1483" s="22"/>
      <c r="G1483" s="117"/>
      <c r="H1483" s="29"/>
      <c r="I1483" s="30"/>
      <c r="J1483" s="26"/>
      <c r="K1483" s="111"/>
      <c r="L1483" s="26"/>
      <c r="M1483" s="31"/>
      <c r="Q1483" s="117"/>
      <c r="R1483" s="117"/>
      <c r="S1483" s="117"/>
      <c r="T1483" s="116"/>
    </row>
    <row r="1484" spans="2:20" s="114" customFormat="1" ht="15">
      <c r="B1484" s="22"/>
      <c r="C1484" s="25"/>
      <c r="D1484" s="26"/>
      <c r="E1484" s="24"/>
      <c r="F1484" s="22"/>
      <c r="G1484" s="117"/>
      <c r="H1484" s="29"/>
      <c r="I1484" s="30"/>
      <c r="J1484" s="26"/>
      <c r="K1484" s="111"/>
      <c r="L1484" s="26"/>
      <c r="M1484" s="31"/>
      <c r="Q1484" s="117"/>
      <c r="R1484" s="117"/>
      <c r="S1484" s="117"/>
      <c r="T1484" s="116"/>
    </row>
    <row r="1485" spans="2:20" s="114" customFormat="1" ht="15">
      <c r="B1485" s="22"/>
      <c r="C1485" s="25"/>
      <c r="D1485" s="26"/>
      <c r="E1485" s="24"/>
      <c r="F1485" s="22"/>
      <c r="G1485" s="117"/>
      <c r="H1485" s="29"/>
      <c r="I1485" s="30"/>
      <c r="J1485" s="26"/>
      <c r="K1485" s="111"/>
      <c r="L1485" s="26"/>
      <c r="M1485" s="31"/>
      <c r="Q1485" s="117"/>
      <c r="R1485" s="117"/>
      <c r="S1485" s="117"/>
      <c r="T1485" s="116"/>
    </row>
    <row r="1486" spans="2:20" s="114" customFormat="1" ht="15">
      <c r="B1486" s="22"/>
      <c r="C1486" s="25"/>
      <c r="D1486" s="26"/>
      <c r="E1486" s="24"/>
      <c r="F1486" s="22"/>
      <c r="G1486" s="117"/>
      <c r="H1486" s="29"/>
      <c r="I1486" s="30"/>
      <c r="J1486" s="26"/>
      <c r="K1486" s="111"/>
      <c r="L1486" s="26"/>
      <c r="M1486" s="31"/>
      <c r="Q1486" s="117"/>
      <c r="R1486" s="117"/>
      <c r="S1486" s="117"/>
      <c r="T1486" s="116"/>
    </row>
    <row r="1487" spans="2:20" s="114" customFormat="1" ht="15">
      <c r="B1487" s="22"/>
      <c r="C1487" s="25"/>
      <c r="D1487" s="26"/>
      <c r="E1487" s="24"/>
      <c r="F1487" s="22"/>
      <c r="G1487" s="117"/>
      <c r="H1487" s="29"/>
      <c r="I1487" s="30"/>
      <c r="J1487" s="26"/>
      <c r="K1487" s="111"/>
      <c r="L1487" s="26"/>
      <c r="M1487" s="31"/>
      <c r="Q1487" s="117"/>
      <c r="R1487" s="117"/>
      <c r="S1487" s="117"/>
      <c r="T1487" s="116"/>
    </row>
    <row r="1488" spans="2:20" s="114" customFormat="1" ht="15">
      <c r="B1488" s="22"/>
      <c r="C1488" s="25"/>
      <c r="D1488" s="26"/>
      <c r="E1488" s="24"/>
      <c r="F1488" s="22"/>
      <c r="G1488" s="117"/>
      <c r="H1488" s="29"/>
      <c r="I1488" s="30"/>
      <c r="J1488" s="26"/>
      <c r="K1488" s="111"/>
      <c r="L1488" s="26"/>
      <c r="M1488" s="31"/>
      <c r="Q1488" s="117"/>
      <c r="R1488" s="117"/>
      <c r="S1488" s="117"/>
      <c r="T1488" s="116"/>
    </row>
    <row r="1489" spans="2:20" s="114" customFormat="1" ht="15">
      <c r="B1489" s="22"/>
      <c r="C1489" s="25"/>
      <c r="D1489" s="26"/>
      <c r="E1489" s="24"/>
      <c r="F1489" s="22"/>
      <c r="G1489" s="117"/>
      <c r="H1489" s="29"/>
      <c r="I1489" s="30"/>
      <c r="J1489" s="26"/>
      <c r="K1489" s="111"/>
      <c r="L1489" s="26"/>
      <c r="M1489" s="31"/>
      <c r="Q1489" s="117"/>
      <c r="R1489" s="117"/>
      <c r="S1489" s="117"/>
      <c r="T1489" s="116"/>
    </row>
    <row r="1490" spans="2:20" s="114" customFormat="1" ht="15">
      <c r="B1490" s="22" t="s">
        <v>273</v>
      </c>
      <c r="C1490" s="25"/>
      <c r="D1490" s="26"/>
      <c r="E1490" s="24"/>
      <c r="F1490" s="22"/>
      <c r="G1490" s="117"/>
      <c r="H1490" s="29"/>
      <c r="I1490" s="30"/>
      <c r="J1490" s="26"/>
      <c r="K1490" s="111"/>
      <c r="L1490" s="26"/>
      <c r="M1490" s="31"/>
      <c r="O1490" s="9" t="s">
        <v>110</v>
      </c>
      <c r="Q1490" s="117"/>
      <c r="R1490" s="117"/>
      <c r="S1490" s="117"/>
      <c r="T1490" s="116"/>
    </row>
    <row r="1491" spans="1:20" s="114" customFormat="1" ht="15">
      <c r="A1491" s="114" t="s">
        <v>40</v>
      </c>
      <c r="B1491" s="147">
        <v>42012</v>
      </c>
      <c r="C1491" s="25"/>
      <c r="D1491" s="26"/>
      <c r="E1491" s="24"/>
      <c r="F1491" s="22"/>
      <c r="G1491" s="117"/>
      <c r="H1491" s="29"/>
      <c r="I1491" s="30"/>
      <c r="J1491" s="26"/>
      <c r="K1491" s="111"/>
      <c r="L1491" s="26"/>
      <c r="M1491" s="31"/>
      <c r="O1491" s="121">
        <f>WORKDAY(B1491,40,'Weekly Summary'!P$2:P$10)</f>
        <v>42072</v>
      </c>
      <c r="Q1491" s="117"/>
      <c r="R1491" s="117"/>
      <c r="S1491" s="117"/>
      <c r="T1491" s="116"/>
    </row>
    <row r="1492" spans="1:20" s="114" customFormat="1" ht="15">
      <c r="A1492" s="114" t="s">
        <v>92</v>
      </c>
      <c r="B1492" s="147">
        <v>42010</v>
      </c>
      <c r="C1492" s="25"/>
      <c r="D1492" s="26"/>
      <c r="E1492" s="24"/>
      <c r="F1492" s="22"/>
      <c r="G1492" s="117"/>
      <c r="H1492" s="29"/>
      <c r="I1492" s="30"/>
      <c r="J1492" s="26"/>
      <c r="K1492" s="111"/>
      <c r="L1492" s="26"/>
      <c r="M1492" s="31"/>
      <c r="O1492" s="121">
        <f>WORKDAY(B1492,40,'Weekly Summary'!P$2:P$10)</f>
        <v>42068</v>
      </c>
      <c r="Q1492" s="117"/>
      <c r="R1492" s="117"/>
      <c r="S1492" s="117"/>
      <c r="T1492" s="116"/>
    </row>
    <row r="1493" spans="1:20" s="114" customFormat="1" ht="15">
      <c r="A1493" s="114" t="s">
        <v>64</v>
      </c>
      <c r="B1493" s="147">
        <v>42024</v>
      </c>
      <c r="C1493" s="25"/>
      <c r="D1493" s="26"/>
      <c r="E1493" s="24"/>
      <c r="F1493" s="22"/>
      <c r="G1493" s="117"/>
      <c r="H1493" s="29"/>
      <c r="I1493" s="30"/>
      <c r="J1493" s="26"/>
      <c r="K1493" s="111"/>
      <c r="L1493" s="26"/>
      <c r="M1493" s="31"/>
      <c r="O1493" s="121">
        <f>WORKDAY(B1493,40,'Weekly Summary'!P$2:P$10)</f>
        <v>42081</v>
      </c>
      <c r="Q1493" s="117"/>
      <c r="R1493" s="117"/>
      <c r="S1493" s="117"/>
      <c r="T1493" s="116"/>
    </row>
    <row r="1494" spans="1:20" s="114" customFormat="1" ht="15">
      <c r="A1494" s="114" t="s">
        <v>39</v>
      </c>
      <c r="B1494" s="147">
        <v>42011</v>
      </c>
      <c r="C1494" s="25"/>
      <c r="D1494" s="26"/>
      <c r="E1494" s="24"/>
      <c r="F1494" s="22"/>
      <c r="G1494" s="117"/>
      <c r="H1494" s="29"/>
      <c r="I1494" s="30"/>
      <c r="J1494" s="26"/>
      <c r="K1494" s="111"/>
      <c r="L1494" s="26"/>
      <c r="M1494" s="31"/>
      <c r="O1494" s="121">
        <f>WORKDAY(B1494,40,'Weekly Summary'!P$2:P$10)</f>
        <v>42069</v>
      </c>
      <c r="Q1494" s="117"/>
      <c r="R1494" s="117"/>
      <c r="S1494" s="117"/>
      <c r="T1494" s="116"/>
    </row>
    <row r="1495" spans="1:20" s="114" customFormat="1" ht="15">
      <c r="A1495" s="114" t="s">
        <v>50</v>
      </c>
      <c r="B1495" s="147">
        <v>42012</v>
      </c>
      <c r="C1495" s="25"/>
      <c r="D1495" s="26"/>
      <c r="E1495" s="24"/>
      <c r="F1495" s="22"/>
      <c r="G1495" s="117"/>
      <c r="H1495" s="29"/>
      <c r="I1495" s="30"/>
      <c r="J1495" s="26"/>
      <c r="K1495" s="111"/>
      <c r="L1495" s="26"/>
      <c r="M1495" s="31"/>
      <c r="O1495" s="121">
        <f>WORKDAY(B1495,40,'Weekly Summary'!P$2:P$10)</f>
        <v>42072</v>
      </c>
      <c r="Q1495" s="117"/>
      <c r="R1495" s="117"/>
      <c r="S1495" s="117"/>
      <c r="T1495" s="116"/>
    </row>
    <row r="1496" spans="1:20" s="114" customFormat="1" ht="15">
      <c r="A1496" s="114" t="s">
        <v>60</v>
      </c>
      <c r="B1496" s="147">
        <v>42013</v>
      </c>
      <c r="C1496" s="25"/>
      <c r="D1496" s="26"/>
      <c r="E1496" s="24"/>
      <c r="F1496" s="22"/>
      <c r="G1496" s="117"/>
      <c r="H1496" s="29"/>
      <c r="I1496" s="30"/>
      <c r="J1496" s="26"/>
      <c r="K1496" s="111"/>
      <c r="L1496" s="26"/>
      <c r="M1496" s="31"/>
      <c r="O1496" s="121">
        <f>WORKDAY(B1496,40,'Weekly Summary'!P$2:P$10)</f>
        <v>42073</v>
      </c>
      <c r="Q1496" s="117"/>
      <c r="R1496" s="117"/>
      <c r="S1496" s="117"/>
      <c r="T1496" s="116"/>
    </row>
    <row r="1497" spans="1:20" s="114" customFormat="1" ht="15">
      <c r="A1497" s="114" t="s">
        <v>80</v>
      </c>
      <c r="B1497" s="147">
        <v>42033</v>
      </c>
      <c r="C1497" s="25"/>
      <c r="D1497" s="26"/>
      <c r="E1497" s="24"/>
      <c r="F1497" s="22"/>
      <c r="G1497" s="117"/>
      <c r="H1497" s="29"/>
      <c r="I1497" s="30"/>
      <c r="J1497" s="26"/>
      <c r="K1497" s="111"/>
      <c r="L1497" s="26"/>
      <c r="M1497" s="31"/>
      <c r="O1497" s="121">
        <f>WORKDAY(B1497,40,'Weekly Summary'!P$2:P$10)</f>
        <v>42090</v>
      </c>
      <c r="Q1497" s="117"/>
      <c r="R1497" s="117"/>
      <c r="S1497" s="117"/>
      <c r="T1497" s="116"/>
    </row>
    <row r="1498" spans="1:20" s="114" customFormat="1" ht="15">
      <c r="A1498" s="114" t="s">
        <v>73</v>
      </c>
      <c r="B1498" s="147">
        <v>42020</v>
      </c>
      <c r="C1498" s="25"/>
      <c r="D1498" s="26"/>
      <c r="E1498" s="24"/>
      <c r="F1498" s="22"/>
      <c r="G1498" s="117"/>
      <c r="H1498" s="29"/>
      <c r="I1498" s="30"/>
      <c r="J1498" s="26"/>
      <c r="K1498" s="111"/>
      <c r="L1498" s="26"/>
      <c r="M1498" s="31"/>
      <c r="O1498" s="121">
        <f>WORKDAY(B1498,40,'Weekly Summary'!P$2:P$10)</f>
        <v>42080</v>
      </c>
      <c r="Q1498" s="117"/>
      <c r="R1498" s="117"/>
      <c r="S1498" s="117"/>
      <c r="T1498" s="116"/>
    </row>
    <row r="1499" spans="1:20" s="114" customFormat="1" ht="15">
      <c r="A1499" s="114" t="s">
        <v>58</v>
      </c>
      <c r="B1499" s="147">
        <v>42039</v>
      </c>
      <c r="C1499" s="25"/>
      <c r="D1499" s="26"/>
      <c r="E1499" s="24"/>
      <c r="F1499" s="22"/>
      <c r="G1499" s="117"/>
      <c r="H1499" s="29"/>
      <c r="I1499" s="30"/>
      <c r="J1499" s="26"/>
      <c r="K1499" s="111"/>
      <c r="L1499" s="26"/>
      <c r="M1499" s="31"/>
      <c r="O1499" s="121">
        <f>WORKDAY(B1499,40,'Weekly Summary'!P$2:P$10)</f>
        <v>42096</v>
      </c>
      <c r="Q1499" s="117"/>
      <c r="R1499" s="117"/>
      <c r="S1499" s="117"/>
      <c r="T1499" s="116"/>
    </row>
    <row r="1500" spans="1:20" s="114" customFormat="1" ht="15">
      <c r="A1500" s="114" t="s">
        <v>39</v>
      </c>
      <c r="B1500" s="147">
        <v>42067</v>
      </c>
      <c r="C1500" s="25"/>
      <c r="D1500" s="26"/>
      <c r="E1500" s="24"/>
      <c r="F1500" s="22"/>
      <c r="G1500" s="117"/>
      <c r="H1500" s="29"/>
      <c r="I1500" s="30"/>
      <c r="J1500" s="26"/>
      <c r="K1500" s="111"/>
      <c r="L1500" s="26"/>
      <c r="M1500" s="31"/>
      <c r="O1500" s="121">
        <f>WORKDAY(B1500,40,'Weekly Summary'!P$2:P$10)</f>
        <v>42124</v>
      </c>
      <c r="Q1500" s="117"/>
      <c r="R1500" s="117"/>
      <c r="S1500" s="117"/>
      <c r="T1500" s="116"/>
    </row>
    <row r="1501" spans="1:20" s="114" customFormat="1" ht="15">
      <c r="A1501" s="114" t="s">
        <v>61</v>
      </c>
      <c r="B1501" s="147">
        <v>42027</v>
      </c>
      <c r="C1501" s="25"/>
      <c r="D1501" s="26"/>
      <c r="E1501" s="24"/>
      <c r="F1501" s="22"/>
      <c r="G1501" s="117"/>
      <c r="H1501" s="29"/>
      <c r="I1501" s="30"/>
      <c r="J1501" s="26"/>
      <c r="K1501" s="111"/>
      <c r="L1501" s="26"/>
      <c r="M1501" s="31"/>
      <c r="O1501" s="121">
        <f>WORKDAY(B1501,40,'Weekly Summary'!P$2:P$10)</f>
        <v>42086</v>
      </c>
      <c r="Q1501" s="117"/>
      <c r="R1501" s="117"/>
      <c r="S1501" s="117"/>
      <c r="T1501" s="116"/>
    </row>
    <row r="1502" spans="1:20" s="114" customFormat="1" ht="15">
      <c r="A1502" s="114" t="s">
        <v>52</v>
      </c>
      <c r="B1502" s="147">
        <v>42046</v>
      </c>
      <c r="C1502" s="25"/>
      <c r="D1502" s="26"/>
      <c r="E1502" s="24"/>
      <c r="F1502" s="22"/>
      <c r="G1502" s="117"/>
      <c r="H1502" s="29"/>
      <c r="I1502" s="30"/>
      <c r="J1502" s="26"/>
      <c r="K1502" s="111"/>
      <c r="L1502" s="26"/>
      <c r="M1502" s="31"/>
      <c r="O1502" s="121">
        <f>WORKDAY(B1502,40,'Weekly Summary'!P$2:P$10)</f>
        <v>42104</v>
      </c>
      <c r="Q1502" s="117"/>
      <c r="R1502" s="117"/>
      <c r="S1502" s="117"/>
      <c r="T1502" s="116"/>
    </row>
    <row r="1503" spans="1:20" s="114" customFormat="1" ht="15">
      <c r="A1503" s="114" t="s">
        <v>169</v>
      </c>
      <c r="B1503" s="147">
        <v>42075</v>
      </c>
      <c r="C1503" s="25"/>
      <c r="D1503" s="26"/>
      <c r="E1503" s="24"/>
      <c r="F1503" s="22"/>
      <c r="G1503" s="117"/>
      <c r="H1503" s="29"/>
      <c r="I1503" s="30"/>
      <c r="J1503" s="26"/>
      <c r="K1503" s="111"/>
      <c r="L1503" s="26"/>
      <c r="M1503" s="31"/>
      <c r="O1503" s="121">
        <f>WORKDAY(B1503,40,'Weekly Summary'!P$2:P$10)</f>
        <v>42132</v>
      </c>
      <c r="Q1503" s="117"/>
      <c r="R1503" s="117"/>
      <c r="S1503" s="117"/>
      <c r="T1503" s="116"/>
    </row>
    <row r="1504" spans="1:20" s="114" customFormat="1" ht="15">
      <c r="A1504" s="114" t="s">
        <v>43</v>
      </c>
      <c r="B1504" s="147">
        <v>42082</v>
      </c>
      <c r="C1504" s="25"/>
      <c r="D1504" s="26"/>
      <c r="E1504" s="24"/>
      <c r="F1504" s="22"/>
      <c r="G1504" s="117"/>
      <c r="H1504" s="29"/>
      <c r="I1504" s="30"/>
      <c r="J1504" s="26"/>
      <c r="K1504" s="111"/>
      <c r="L1504" s="26"/>
      <c r="M1504" s="31"/>
      <c r="O1504" s="121">
        <f>WORKDAY(B1504,40,'Weekly Summary'!P$2:P$10)</f>
        <v>42139</v>
      </c>
      <c r="Q1504" s="117"/>
      <c r="R1504" s="117"/>
      <c r="S1504" s="117"/>
      <c r="T1504" s="116"/>
    </row>
    <row r="1505" spans="1:20" s="114" customFormat="1" ht="15">
      <c r="A1505" s="114" t="s">
        <v>45</v>
      </c>
      <c r="B1505" s="147">
        <v>42102</v>
      </c>
      <c r="C1505" s="25"/>
      <c r="D1505" s="26"/>
      <c r="E1505" s="24"/>
      <c r="F1505" s="22"/>
      <c r="G1505" s="117"/>
      <c r="H1505" s="29"/>
      <c r="I1505" s="30"/>
      <c r="J1505" s="26"/>
      <c r="K1505" s="111"/>
      <c r="L1505" s="26"/>
      <c r="M1505" s="31"/>
      <c r="O1505" s="121">
        <f>WORKDAY(B1505,40,'Weekly Summary'!P$2:P$10)</f>
        <v>42159</v>
      </c>
      <c r="Q1505" s="117"/>
      <c r="R1505" s="117"/>
      <c r="S1505" s="117"/>
      <c r="T1505" s="116"/>
    </row>
    <row r="1506" spans="1:20" s="114" customFormat="1" ht="15">
      <c r="A1506" s="114" t="s">
        <v>55</v>
      </c>
      <c r="B1506" s="147">
        <v>42013</v>
      </c>
      <c r="C1506" s="25"/>
      <c r="D1506" s="26"/>
      <c r="E1506" s="24"/>
      <c r="F1506" s="22"/>
      <c r="G1506" s="117"/>
      <c r="H1506" s="29"/>
      <c r="I1506" s="30"/>
      <c r="J1506" s="26"/>
      <c r="K1506" s="111"/>
      <c r="L1506" s="26"/>
      <c r="M1506" s="31"/>
      <c r="O1506" s="121">
        <f>WORKDAY(B1506,40,'Weekly Summary'!P$2:P$10)</f>
        <v>42073</v>
      </c>
      <c r="Q1506" s="117"/>
      <c r="R1506" s="117"/>
      <c r="S1506" s="117"/>
      <c r="T1506" s="116"/>
    </row>
    <row r="1507" spans="1:20" s="114" customFormat="1" ht="15">
      <c r="A1507" s="114" t="s">
        <v>184</v>
      </c>
      <c r="B1507" s="147">
        <v>42040</v>
      </c>
      <c r="C1507" s="25"/>
      <c r="D1507" s="26"/>
      <c r="E1507" s="24"/>
      <c r="F1507" s="22"/>
      <c r="G1507" s="117"/>
      <c r="H1507" s="29"/>
      <c r="I1507" s="30"/>
      <c r="J1507" s="26"/>
      <c r="K1507" s="111"/>
      <c r="L1507" s="26"/>
      <c r="M1507" s="31"/>
      <c r="O1507" s="121">
        <f>WORKDAY(B1507,40,'Weekly Summary'!P$2:P$10)</f>
        <v>42100</v>
      </c>
      <c r="Q1507" s="117"/>
      <c r="R1507" s="117"/>
      <c r="S1507" s="117"/>
      <c r="T1507" s="116"/>
    </row>
    <row r="1508" spans="1:20" s="114" customFormat="1" ht="15">
      <c r="A1508" s="114" t="s">
        <v>59</v>
      </c>
      <c r="B1508" s="147">
        <v>42166</v>
      </c>
      <c r="C1508" s="25"/>
      <c r="D1508" s="26"/>
      <c r="E1508" s="24"/>
      <c r="F1508" s="22"/>
      <c r="G1508" s="117"/>
      <c r="H1508" s="29"/>
      <c r="I1508" s="30"/>
      <c r="J1508" s="26"/>
      <c r="K1508" s="111"/>
      <c r="L1508" s="26"/>
      <c r="M1508" s="31"/>
      <c r="O1508" s="121">
        <f>WORKDAY(B1508,40,'Weekly Summary'!P$2:P$10)</f>
        <v>42223</v>
      </c>
      <c r="Q1508" s="117"/>
      <c r="R1508" s="117"/>
      <c r="S1508" s="117"/>
      <c r="T1508" s="116"/>
    </row>
    <row r="1509" spans="1:20" s="114" customFormat="1" ht="15">
      <c r="A1509" s="114" t="s">
        <v>190</v>
      </c>
      <c r="B1509" s="147">
        <v>42103</v>
      </c>
      <c r="C1509" s="25"/>
      <c r="D1509" s="26"/>
      <c r="E1509" s="24"/>
      <c r="F1509" s="22"/>
      <c r="G1509" s="117"/>
      <c r="H1509" s="29"/>
      <c r="I1509" s="30"/>
      <c r="J1509" s="26"/>
      <c r="K1509" s="111"/>
      <c r="L1509" s="26"/>
      <c r="M1509" s="31"/>
      <c r="O1509" s="121">
        <f>WORKDAY(B1509,40,'Weekly Summary'!P$2:P$10)</f>
        <v>42160</v>
      </c>
      <c r="Q1509" s="117"/>
      <c r="R1509" s="117"/>
      <c r="S1509" s="117"/>
      <c r="T1509" s="116"/>
    </row>
    <row r="1510" spans="1:20" s="114" customFormat="1" ht="15">
      <c r="A1510" s="114" t="s">
        <v>208</v>
      </c>
      <c r="B1510" s="147">
        <v>42079</v>
      </c>
      <c r="C1510" s="25"/>
      <c r="D1510" s="26"/>
      <c r="E1510" s="24"/>
      <c r="F1510" s="22"/>
      <c r="G1510" s="117"/>
      <c r="H1510" s="29"/>
      <c r="I1510" s="30"/>
      <c r="J1510" s="26"/>
      <c r="K1510" s="111"/>
      <c r="L1510" s="26"/>
      <c r="M1510" s="31"/>
      <c r="O1510" s="121">
        <f>WORKDAY(B1510,40,'Weekly Summary'!P$2:P$10)</f>
        <v>42136</v>
      </c>
      <c r="Q1510" s="117"/>
      <c r="R1510" s="117"/>
      <c r="S1510" s="117"/>
      <c r="T1510" s="116"/>
    </row>
    <row r="1511" spans="1:20" s="114" customFormat="1" ht="15">
      <c r="A1511" s="114" t="s">
        <v>49</v>
      </c>
      <c r="B1511" s="147">
        <v>42102</v>
      </c>
      <c r="C1511" s="25"/>
      <c r="D1511" s="26"/>
      <c r="E1511" s="24"/>
      <c r="F1511" s="22"/>
      <c r="G1511" s="117"/>
      <c r="H1511" s="29"/>
      <c r="I1511" s="30"/>
      <c r="J1511" s="26"/>
      <c r="K1511" s="111"/>
      <c r="L1511" s="26"/>
      <c r="M1511" s="31"/>
      <c r="O1511" s="121">
        <f>WORKDAY(B1511,40,'Weekly Summary'!P$2:P$10)</f>
        <v>42159</v>
      </c>
      <c r="Q1511" s="117"/>
      <c r="R1511" s="117"/>
      <c r="S1511" s="117"/>
      <c r="T1511" s="116"/>
    </row>
    <row r="1512" spans="1:20" s="114" customFormat="1" ht="15">
      <c r="A1512" s="114" t="s">
        <v>66</v>
      </c>
      <c r="B1512" s="147">
        <v>42158</v>
      </c>
      <c r="C1512" s="25"/>
      <c r="D1512" s="26"/>
      <c r="E1512" s="24"/>
      <c r="F1512" s="22"/>
      <c r="G1512" s="117"/>
      <c r="H1512" s="29"/>
      <c r="I1512" s="30"/>
      <c r="J1512" s="26"/>
      <c r="K1512" s="111"/>
      <c r="L1512" s="26"/>
      <c r="M1512" s="31"/>
      <c r="O1512" s="121">
        <f>WORKDAY(B1512,40,'Weekly Summary'!P$2:P$10)</f>
        <v>42215</v>
      </c>
      <c r="Q1512" s="117"/>
      <c r="R1512" s="117"/>
      <c r="S1512" s="117"/>
      <c r="T1512" s="116"/>
    </row>
    <row r="1513" spans="1:20" s="114" customFormat="1" ht="15">
      <c r="A1513" s="114" t="s">
        <v>59</v>
      </c>
      <c r="B1513" s="147">
        <v>42166</v>
      </c>
      <c r="C1513" s="25"/>
      <c r="D1513" s="26"/>
      <c r="E1513" s="24"/>
      <c r="F1513" s="22"/>
      <c r="G1513" s="117"/>
      <c r="H1513" s="29"/>
      <c r="I1513" s="30"/>
      <c r="J1513" s="26"/>
      <c r="K1513" s="111"/>
      <c r="L1513" s="26"/>
      <c r="M1513" s="31"/>
      <c r="O1513" s="121">
        <f>WORKDAY(B1513,40,'Weekly Summary'!P$2:P$10)</f>
        <v>42223</v>
      </c>
      <c r="Q1513" s="117"/>
      <c r="R1513" s="117"/>
      <c r="S1513" s="117"/>
      <c r="T1513" s="116"/>
    </row>
    <row r="1514" spans="1:20" s="114" customFormat="1" ht="15">
      <c r="A1514" s="114" t="s">
        <v>48</v>
      </c>
      <c r="B1514" s="147">
        <v>42173</v>
      </c>
      <c r="C1514" s="25"/>
      <c r="D1514" s="26"/>
      <c r="E1514" s="24"/>
      <c r="F1514" s="22"/>
      <c r="G1514" s="117"/>
      <c r="H1514" s="29"/>
      <c r="I1514" s="30"/>
      <c r="J1514" s="26"/>
      <c r="K1514" s="111"/>
      <c r="L1514" s="26"/>
      <c r="M1514" s="31"/>
      <c r="O1514" s="121">
        <f>WORKDAY(B1514,40,'Weekly Summary'!P$2:P$10)</f>
        <v>42230</v>
      </c>
      <c r="Q1514" s="117"/>
      <c r="R1514" s="117"/>
      <c r="S1514" s="117"/>
      <c r="T1514" s="116"/>
    </row>
    <row r="1515" spans="1:20" s="114" customFormat="1" ht="15">
      <c r="A1515" s="114" t="s">
        <v>68</v>
      </c>
      <c r="B1515" s="147">
        <v>42202</v>
      </c>
      <c r="C1515" s="25"/>
      <c r="D1515" s="26"/>
      <c r="E1515" s="24"/>
      <c r="F1515" s="22"/>
      <c r="G1515" s="117"/>
      <c r="H1515" s="29"/>
      <c r="I1515" s="30"/>
      <c r="J1515" s="26"/>
      <c r="K1515" s="111"/>
      <c r="L1515" s="26"/>
      <c r="M1515" s="31"/>
      <c r="O1515" s="121">
        <f>WORKDAY(B1515,40,'Weekly Summary'!P$2:P$10)</f>
        <v>42261</v>
      </c>
      <c r="Q1515" s="117"/>
      <c r="R1515" s="117"/>
      <c r="S1515" s="117"/>
      <c r="T1515" s="116"/>
    </row>
    <row r="1516" spans="1:20" s="114" customFormat="1" ht="15">
      <c r="A1516" s="114" t="s">
        <v>65</v>
      </c>
      <c r="B1516" s="147">
        <v>42233</v>
      </c>
      <c r="C1516" s="25"/>
      <c r="D1516" s="26"/>
      <c r="E1516" s="24"/>
      <c r="F1516" s="22"/>
      <c r="G1516" s="117"/>
      <c r="H1516" s="29"/>
      <c r="I1516" s="30"/>
      <c r="J1516" s="26"/>
      <c r="K1516" s="111"/>
      <c r="L1516" s="26"/>
      <c r="M1516" s="31"/>
      <c r="O1516" s="121">
        <f>WORKDAY(B1516,40,'Weekly Summary'!P$2:P$10)</f>
        <v>42290</v>
      </c>
      <c r="Q1516" s="117"/>
      <c r="R1516" s="117"/>
      <c r="S1516" s="117"/>
      <c r="T1516" s="116"/>
    </row>
    <row r="1517" spans="1:20" s="114" customFormat="1" ht="15">
      <c r="A1517" s="114" t="s">
        <v>383</v>
      </c>
      <c r="B1517" s="147">
        <v>42243</v>
      </c>
      <c r="C1517" s="25"/>
      <c r="D1517" s="26"/>
      <c r="E1517" s="24"/>
      <c r="F1517" s="22"/>
      <c r="G1517" s="117"/>
      <c r="H1517" s="29"/>
      <c r="I1517" s="30"/>
      <c r="J1517" s="26"/>
      <c r="K1517" s="111"/>
      <c r="L1517" s="26"/>
      <c r="M1517" s="31"/>
      <c r="O1517" s="121">
        <f>WORKDAY(B1517,40,'Weekly Summary'!P$2:P$10)</f>
        <v>42300</v>
      </c>
      <c r="Q1517" s="117"/>
      <c r="R1517" s="117"/>
      <c r="S1517" s="117"/>
      <c r="T1517" s="116"/>
    </row>
    <row r="1518" spans="1:20" s="114" customFormat="1" ht="15">
      <c r="A1518" s="114" t="s">
        <v>390</v>
      </c>
      <c r="B1518" s="147">
        <v>42216</v>
      </c>
      <c r="C1518" s="25"/>
      <c r="D1518" s="26"/>
      <c r="E1518" s="24"/>
      <c r="F1518" s="22"/>
      <c r="G1518" s="117"/>
      <c r="H1518" s="29"/>
      <c r="I1518" s="30"/>
      <c r="J1518" s="26"/>
      <c r="K1518" s="111"/>
      <c r="L1518" s="26"/>
      <c r="M1518" s="31"/>
      <c r="O1518" s="121">
        <f>WORKDAY(B1518,40,'Weekly Summary'!P$2:P$10)</f>
        <v>42275</v>
      </c>
      <c r="Q1518" s="117"/>
      <c r="R1518" s="117"/>
      <c r="S1518" s="117"/>
      <c r="T1518" s="116"/>
    </row>
    <row r="1519" spans="1:15" ht="15">
      <c r="A1519" s="114" t="s">
        <v>388</v>
      </c>
      <c r="B1519" s="147">
        <v>42257</v>
      </c>
      <c r="F1519" s="22"/>
      <c r="O1519" s="121">
        <f>WORKDAY(B1519,40,'Weekly Summary'!P$2:P$10)</f>
        <v>42313</v>
      </c>
    </row>
    <row r="1520" spans="1:20" s="114" customFormat="1" ht="15">
      <c r="A1520" s="114" t="s">
        <v>73</v>
      </c>
      <c r="B1520" s="147">
        <v>42277</v>
      </c>
      <c r="F1520" s="22"/>
      <c r="O1520" s="121">
        <f>WORKDAY(B1520,40,'Weekly Summary'!P$2:P$10)</f>
        <v>42333</v>
      </c>
      <c r="Q1520" s="117"/>
      <c r="T1520" s="116"/>
    </row>
    <row r="1521" spans="1:15" ht="15">
      <c r="A1521" t="s">
        <v>418</v>
      </c>
      <c r="B1521" s="147">
        <v>42279</v>
      </c>
      <c r="O1521" s="121">
        <f>WORKDAY(B1521,40,'Weekly Summary'!P$2:P$10)</f>
        <v>42338</v>
      </c>
    </row>
    <row r="1522" spans="1:15" ht="15">
      <c r="A1522" t="s">
        <v>406</v>
      </c>
      <c r="B1522" s="147">
        <v>42282</v>
      </c>
      <c r="O1522" s="121">
        <f>WORKDAY(B1522,40,'Weekly Summary'!P$2:P$10)</f>
        <v>42339</v>
      </c>
    </row>
    <row r="1523" spans="1:15" ht="15">
      <c r="A1523" t="s">
        <v>63</v>
      </c>
      <c r="B1523" s="147">
        <v>42282</v>
      </c>
      <c r="O1523" s="121">
        <f>WORKDAY(B1523,40,'Weekly Summary'!P$2:P$10)</f>
        <v>42339</v>
      </c>
    </row>
    <row r="1524" spans="1:15" ht="15">
      <c r="A1524" t="s">
        <v>433</v>
      </c>
      <c r="B1524" s="147">
        <v>42284</v>
      </c>
      <c r="O1524" s="121">
        <f>WORKDAY(B1524,40,'Weekly Summary'!P$2:P$10)</f>
        <v>42341</v>
      </c>
    </row>
    <row r="1525" ht="15">
      <c r="B1525" s="147"/>
    </row>
    <row r="1526" ht="15">
      <c r="B1526" s="147"/>
    </row>
    <row r="1527" ht="15">
      <c r="B1527" s="147"/>
    </row>
    <row r="1528" ht="15">
      <c r="B1528" s="147"/>
    </row>
    <row r="1529" ht="15">
      <c r="B1529" s="147"/>
    </row>
  </sheetData>
  <mergeCells count="43">
    <mergeCell ref="B1392:N1392"/>
    <mergeCell ref="B1422:N1422"/>
    <mergeCell ref="B1453:N1453"/>
    <mergeCell ref="B1304:N1304"/>
    <mergeCell ref="B1323:N1323"/>
    <mergeCell ref="B1340:N1340"/>
    <mergeCell ref="B1116:N1116"/>
    <mergeCell ref="B1160:N1160"/>
    <mergeCell ref="B1199:N1199"/>
    <mergeCell ref="B1239:N1239"/>
    <mergeCell ref="B1364:N1364"/>
    <mergeCell ref="B470:N470"/>
    <mergeCell ref="B512:N512"/>
    <mergeCell ref="B556:N556"/>
    <mergeCell ref="B1284:N1284"/>
    <mergeCell ref="B692:N692"/>
    <mergeCell ref="B789:N789"/>
    <mergeCell ref="B834:N834"/>
    <mergeCell ref="B879:N879"/>
    <mergeCell ref="B995:N995"/>
    <mergeCell ref="B740:N740"/>
    <mergeCell ref="B1253:N1253"/>
    <mergeCell ref="B1035:N1035"/>
    <mergeCell ref="B920:N920"/>
    <mergeCell ref="B957:N957"/>
    <mergeCell ref="B1268:N1268"/>
    <mergeCell ref="B1075:N1075"/>
    <mergeCell ref="B357:N357"/>
    <mergeCell ref="B600:N600"/>
    <mergeCell ref="B645:N645"/>
    <mergeCell ref="B1:N1"/>
    <mergeCell ref="B81:N81"/>
    <mergeCell ref="B282:N282"/>
    <mergeCell ref="B319:N319"/>
    <mergeCell ref="B169:N169"/>
    <mergeCell ref="B203:N203"/>
    <mergeCell ref="B242:N242"/>
    <mergeCell ref="B137:N137"/>
    <mergeCell ref="B28:N28"/>
    <mergeCell ref="B53:N53"/>
    <mergeCell ref="B109:N109"/>
    <mergeCell ref="B392:N392"/>
    <mergeCell ref="B430:N430"/>
  </mergeCells>
  <conditionalFormatting sqref="J33:J35 C30:D33 C35:D35 J118:J125 J294:J306 C297:D306 J325 C368:D373 J364:J373 C514:D514 C520:D526 J515:J526 J819:J827 C819:D827 J864:J872 C864:D872 C900:D903 J900:J903 J1489:J1518 C1489:D1518 L1489:L1518 J1172:J1179 C1172:D1179 J1211:J1218 C1211:D1218 J1241:J1243 C1480:D1481 J1480:J1481 L1480:L1481 J1306:J1316 C1306:D1316 J1325:J1333 C1325:D1333 J1433:J1446 C1433:D1446 J1464:J1473 C1464:D1473 C1366:D1385 J1366:J1385">
    <cfRule type="cellIs" priority="1565" dxfId="0" operator="lessThan">
      <formula>0</formula>
    </cfRule>
  </conditionalFormatting>
  <conditionalFormatting sqref="C14:D21 J14:J21">
    <cfRule type="cellIs" priority="577" dxfId="0" operator="lessThan">
      <formula>0</formula>
    </cfRule>
  </conditionalFormatting>
  <conditionalFormatting sqref="J8:J13 C8:D13">
    <cfRule type="cellIs" priority="576" dxfId="0" operator="lessThan">
      <formula>0</formula>
    </cfRule>
  </conditionalFormatting>
  <conditionalFormatting sqref="C1:D2">
    <cfRule type="cellIs" priority="575" dxfId="0" operator="lessThan">
      <formula>0</formula>
    </cfRule>
  </conditionalFormatting>
  <conditionalFormatting sqref="J1:J2 J22:J27 C22:D27">
    <cfRule type="cellIs" priority="574" dxfId="0" operator="lessThan">
      <formula>0</formula>
    </cfRule>
  </conditionalFormatting>
  <conditionalFormatting sqref="L25:L27">
    <cfRule type="cellIs" priority="573" dxfId="0" operator="lessThan">
      <formula>0</formula>
    </cfRule>
  </conditionalFormatting>
  <conditionalFormatting sqref="N23">
    <cfRule type="containsText" priority="572" dxfId="99" operator="containsText" text="CHECK">
      <formula>NOT(ISERROR(SEARCH("CHECK",N23)))</formula>
    </cfRule>
  </conditionalFormatting>
  <conditionalFormatting sqref="J3:J4 C3:D7">
    <cfRule type="cellIs" priority="557" dxfId="0" operator="lessThan">
      <formula>0</formula>
    </cfRule>
  </conditionalFormatting>
  <conditionalFormatting sqref="J5:J7">
    <cfRule type="cellIs" priority="556" dxfId="0" operator="lessThan">
      <formula>0</formula>
    </cfRule>
  </conditionalFormatting>
  <conditionalFormatting sqref="C36:D40 J36:J46 C42:D46">
    <cfRule type="cellIs" priority="555" dxfId="0" operator="lessThan">
      <formula>0</formula>
    </cfRule>
  </conditionalFormatting>
  <conditionalFormatting sqref="C28:D29">
    <cfRule type="cellIs" priority="553" dxfId="0" operator="lessThan">
      <formula>0</formula>
    </cfRule>
  </conditionalFormatting>
  <conditionalFormatting sqref="J28:J29 J47:J52 C47:D52">
    <cfRule type="cellIs" priority="552" dxfId="0" operator="lessThan">
      <formula>0</formula>
    </cfRule>
  </conditionalFormatting>
  <conditionalFormatting sqref="L50:L52">
    <cfRule type="cellIs" priority="551" dxfId="0" operator="lessThan">
      <formula>0</formula>
    </cfRule>
  </conditionalFormatting>
  <conditionalFormatting sqref="N48">
    <cfRule type="containsText" priority="550" dxfId="99" operator="containsText" text="CHECK">
      <formula>NOT(ISERROR(SEARCH("CHECK",N48)))</formula>
    </cfRule>
  </conditionalFormatting>
  <conditionalFormatting sqref="J30:J32">
    <cfRule type="cellIs" priority="548" dxfId="0" operator="lessThan">
      <formula>0</formula>
    </cfRule>
  </conditionalFormatting>
  <conditionalFormatting sqref="C41:D41">
    <cfRule type="cellIs" priority="547" dxfId="0" operator="lessThan">
      <formula>0</formula>
    </cfRule>
  </conditionalFormatting>
  <conditionalFormatting sqref="C34:D34">
    <cfRule type="cellIs" priority="546" dxfId="0" operator="lessThan">
      <formula>0</formula>
    </cfRule>
  </conditionalFormatting>
  <conditionalFormatting sqref="J58:J61 C55:D58 C61:D61">
    <cfRule type="cellIs" priority="545" dxfId="0" operator="lessThan">
      <formula>0</formula>
    </cfRule>
  </conditionalFormatting>
  <conditionalFormatting sqref="C62:D66 J62:J72 C68:D72">
    <cfRule type="cellIs" priority="544" dxfId="0" operator="lessThan">
      <formula>0</formula>
    </cfRule>
  </conditionalFormatting>
  <conditionalFormatting sqref="C53:D54">
    <cfRule type="cellIs" priority="543" dxfId="0" operator="lessThan">
      <formula>0</formula>
    </cfRule>
  </conditionalFormatting>
  <conditionalFormatting sqref="J53:J54 J75:J80 C75:D80">
    <cfRule type="cellIs" priority="542" dxfId="0" operator="lessThan">
      <formula>0</formula>
    </cfRule>
  </conditionalFormatting>
  <conditionalFormatting sqref="L78:L80">
    <cfRule type="cellIs" priority="541" dxfId="0" operator="lessThan">
      <formula>0</formula>
    </cfRule>
  </conditionalFormatting>
  <conditionalFormatting sqref="N76">
    <cfRule type="containsText" priority="540" dxfId="99" operator="containsText" text="CHECK">
      <formula>NOT(ISERROR(SEARCH("CHECK",N76)))</formula>
    </cfRule>
  </conditionalFormatting>
  <conditionalFormatting sqref="J55:J57">
    <cfRule type="cellIs" priority="539" dxfId="0" operator="lessThan">
      <formula>0</formula>
    </cfRule>
  </conditionalFormatting>
  <conditionalFormatting sqref="C67:D67">
    <cfRule type="cellIs" priority="538" dxfId="0" operator="lessThan">
      <formula>0</formula>
    </cfRule>
  </conditionalFormatting>
  <conditionalFormatting sqref="C59:D60">
    <cfRule type="cellIs" priority="537" dxfId="0" operator="lessThan">
      <formula>0</formula>
    </cfRule>
  </conditionalFormatting>
  <conditionalFormatting sqref="J73:J74 C73:D74">
    <cfRule type="cellIs" priority="536" dxfId="0" operator="lessThan">
      <formula>0</formula>
    </cfRule>
  </conditionalFormatting>
  <conditionalFormatting sqref="J114:J117 C111:D114 C117:D117">
    <cfRule type="cellIs" priority="535" dxfId="0" operator="lessThan">
      <formula>0</formula>
    </cfRule>
  </conditionalFormatting>
  <conditionalFormatting sqref="C118:D119 C121:D125">
    <cfRule type="cellIs" priority="534" dxfId="0" operator="lessThan">
      <formula>0</formula>
    </cfRule>
  </conditionalFormatting>
  <conditionalFormatting sqref="C109:D110">
    <cfRule type="cellIs" priority="533" dxfId="0" operator="lessThan">
      <formula>0</formula>
    </cfRule>
  </conditionalFormatting>
  <conditionalFormatting sqref="J109:J110 J131:J136 C131:D136">
    <cfRule type="cellIs" priority="532" dxfId="0" operator="lessThan">
      <formula>0</formula>
    </cfRule>
  </conditionalFormatting>
  <conditionalFormatting sqref="L134:L136">
    <cfRule type="cellIs" priority="531" dxfId="0" operator="lessThan">
      <formula>0</formula>
    </cfRule>
  </conditionalFormatting>
  <conditionalFormatting sqref="N132">
    <cfRule type="containsText" priority="530" dxfId="99" operator="containsText" text="CHECK">
      <formula>NOT(ISERROR(SEARCH("CHECK",N132)))</formula>
    </cfRule>
  </conditionalFormatting>
  <conditionalFormatting sqref="J111:J113">
    <cfRule type="cellIs" priority="529" dxfId="0" operator="lessThan">
      <formula>0</formula>
    </cfRule>
  </conditionalFormatting>
  <conditionalFormatting sqref="C120:D120">
    <cfRule type="cellIs" priority="528" dxfId="0" operator="lessThan">
      <formula>0</formula>
    </cfRule>
  </conditionalFormatting>
  <conditionalFormatting sqref="C115:D116">
    <cfRule type="cellIs" priority="527" dxfId="0" operator="lessThan">
      <formula>0</formula>
    </cfRule>
  </conditionalFormatting>
  <conditionalFormatting sqref="J126:J130 C126:D130">
    <cfRule type="cellIs" priority="526" dxfId="0" operator="lessThan">
      <formula>0</formula>
    </cfRule>
  </conditionalFormatting>
  <conditionalFormatting sqref="J86:J89 C83:D86 C89:D89">
    <cfRule type="cellIs" priority="525" dxfId="0" operator="lessThan">
      <formula>0</formula>
    </cfRule>
  </conditionalFormatting>
  <conditionalFormatting sqref="C90:D94 J90:J100 C96:D100">
    <cfRule type="cellIs" priority="524" dxfId="0" operator="lessThan">
      <formula>0</formula>
    </cfRule>
  </conditionalFormatting>
  <conditionalFormatting sqref="C81:D82">
    <cfRule type="cellIs" priority="523" dxfId="0" operator="lessThan">
      <formula>0</formula>
    </cfRule>
  </conditionalFormatting>
  <conditionalFormatting sqref="J81:J82 J103:J108 C103:D108">
    <cfRule type="cellIs" priority="522" dxfId="0" operator="lessThan">
      <formula>0</formula>
    </cfRule>
  </conditionalFormatting>
  <conditionalFormatting sqref="L106:L108">
    <cfRule type="cellIs" priority="521" dxfId="0" operator="lessThan">
      <formula>0</formula>
    </cfRule>
  </conditionalFormatting>
  <conditionalFormatting sqref="N104">
    <cfRule type="containsText" priority="520" dxfId="99" operator="containsText" text="CHECK">
      <formula>NOT(ISERROR(SEARCH("CHECK",N104)))</formula>
    </cfRule>
  </conditionalFormatting>
  <conditionalFormatting sqref="J83:J85">
    <cfRule type="cellIs" priority="519" dxfId="0" operator="lessThan">
      <formula>0</formula>
    </cfRule>
  </conditionalFormatting>
  <conditionalFormatting sqref="C95:D95">
    <cfRule type="cellIs" priority="518" dxfId="0" operator="lessThan">
      <formula>0</formula>
    </cfRule>
  </conditionalFormatting>
  <conditionalFormatting sqref="C87:D88">
    <cfRule type="cellIs" priority="517" dxfId="0" operator="lessThan">
      <formula>0</formula>
    </cfRule>
  </conditionalFormatting>
  <conditionalFormatting sqref="J101:J102 C101:D102">
    <cfRule type="cellIs" priority="516" dxfId="0" operator="lessThan">
      <formula>0</formula>
    </cfRule>
  </conditionalFormatting>
  <conditionalFormatting sqref="J146:J154">
    <cfRule type="cellIs" priority="515" dxfId="0" operator="lessThan">
      <formula>0</formula>
    </cfRule>
  </conditionalFormatting>
  <conditionalFormatting sqref="J142:J145 C139:D142 C145:D145">
    <cfRule type="cellIs" priority="514" dxfId="0" operator="lessThan">
      <formula>0</formula>
    </cfRule>
  </conditionalFormatting>
  <conditionalFormatting sqref="C146:D148 C150:D154">
    <cfRule type="cellIs" priority="513" dxfId="0" operator="lessThan">
      <formula>0</formula>
    </cfRule>
  </conditionalFormatting>
  <conditionalFormatting sqref="C137:D138">
    <cfRule type="cellIs" priority="512" dxfId="0" operator="lessThan">
      <formula>0</formula>
    </cfRule>
  </conditionalFormatting>
  <conditionalFormatting sqref="J137:J138 J163:J168 C163:D168">
    <cfRule type="cellIs" priority="511" dxfId="0" operator="lessThan">
      <formula>0</formula>
    </cfRule>
  </conditionalFormatting>
  <conditionalFormatting sqref="L166:L168">
    <cfRule type="cellIs" priority="510" dxfId="0" operator="lessThan">
      <formula>0</formula>
    </cfRule>
  </conditionalFormatting>
  <conditionalFormatting sqref="N164">
    <cfRule type="containsText" priority="509" dxfId="99" operator="containsText" text="CHECK">
      <formula>NOT(ISERROR(SEARCH("CHECK",N164)))</formula>
    </cfRule>
  </conditionalFormatting>
  <conditionalFormatting sqref="J139:J141">
    <cfRule type="cellIs" priority="508" dxfId="0" operator="lessThan">
      <formula>0</formula>
    </cfRule>
  </conditionalFormatting>
  <conditionalFormatting sqref="C149:D149">
    <cfRule type="cellIs" priority="507" dxfId="0" operator="lessThan">
      <formula>0</formula>
    </cfRule>
  </conditionalFormatting>
  <conditionalFormatting sqref="C143:D144">
    <cfRule type="cellIs" priority="506" dxfId="0" operator="lessThan">
      <formula>0</formula>
    </cfRule>
  </conditionalFormatting>
  <conditionalFormatting sqref="J155:J162 C155:D162">
    <cfRule type="cellIs" priority="505" dxfId="0" operator="lessThan">
      <formula>0</formula>
    </cfRule>
  </conditionalFormatting>
  <conditionalFormatting sqref="J179:J187">
    <cfRule type="cellIs" priority="504" dxfId="0" operator="lessThan">
      <formula>0</formula>
    </cfRule>
  </conditionalFormatting>
  <conditionalFormatting sqref="J174:J178 C171:D174 C178:D178">
    <cfRule type="cellIs" priority="503" dxfId="0" operator="lessThan">
      <formula>0</formula>
    </cfRule>
  </conditionalFormatting>
  <conditionalFormatting sqref="C179:D181 C183:D187">
    <cfRule type="cellIs" priority="502" dxfId="0" operator="lessThan">
      <formula>0</formula>
    </cfRule>
  </conditionalFormatting>
  <conditionalFormatting sqref="C169:D170">
    <cfRule type="cellIs" priority="501" dxfId="0" operator="lessThan">
      <formula>0</formula>
    </cfRule>
  </conditionalFormatting>
  <conditionalFormatting sqref="J169:J170 J197:J202 C197:D202">
    <cfRule type="cellIs" priority="500" dxfId="0" operator="lessThan">
      <formula>0</formula>
    </cfRule>
  </conditionalFormatting>
  <conditionalFormatting sqref="L200:L202">
    <cfRule type="cellIs" priority="499" dxfId="0" operator="lessThan">
      <formula>0</formula>
    </cfRule>
  </conditionalFormatting>
  <conditionalFormatting sqref="N198">
    <cfRule type="containsText" priority="498" dxfId="99" operator="containsText" text="CHECK">
      <formula>NOT(ISERROR(SEARCH("CHECK",N198)))</formula>
    </cfRule>
  </conditionalFormatting>
  <conditionalFormatting sqref="J171:J173">
    <cfRule type="cellIs" priority="497" dxfId="0" operator="lessThan">
      <formula>0</formula>
    </cfRule>
  </conditionalFormatting>
  <conditionalFormatting sqref="C182:D182">
    <cfRule type="cellIs" priority="496" dxfId="0" operator="lessThan">
      <formula>0</formula>
    </cfRule>
  </conditionalFormatting>
  <conditionalFormatting sqref="C175:D177">
    <cfRule type="cellIs" priority="495" dxfId="0" operator="lessThan">
      <formula>0</formula>
    </cfRule>
  </conditionalFormatting>
  <conditionalFormatting sqref="J188:J195 C188:D195">
    <cfRule type="cellIs" priority="494" dxfId="0" operator="lessThan">
      <formula>0</formula>
    </cfRule>
  </conditionalFormatting>
  <conditionalFormatting sqref="J196 C196:D196">
    <cfRule type="cellIs" priority="493" dxfId="0" operator="lessThan">
      <formula>0</formula>
    </cfRule>
  </conditionalFormatting>
  <conditionalFormatting sqref="J215:J224">
    <cfRule type="cellIs" priority="492" dxfId="0" operator="lessThan">
      <formula>0</formula>
    </cfRule>
  </conditionalFormatting>
  <conditionalFormatting sqref="J209:J214 C205:D209 C214:D214">
    <cfRule type="cellIs" priority="491" dxfId="0" operator="lessThan">
      <formula>0</formula>
    </cfRule>
  </conditionalFormatting>
  <conditionalFormatting sqref="C215:D217 C219:D224">
    <cfRule type="cellIs" priority="490" dxfId="0" operator="lessThan">
      <formula>0</formula>
    </cfRule>
  </conditionalFormatting>
  <conditionalFormatting sqref="C203:D204">
    <cfRule type="cellIs" priority="489" dxfId="0" operator="lessThan">
      <formula>0</formula>
    </cfRule>
  </conditionalFormatting>
  <conditionalFormatting sqref="J203:J204 J236:J241 C236:D241">
    <cfRule type="cellIs" priority="488" dxfId="0" operator="lessThan">
      <formula>0</formula>
    </cfRule>
  </conditionalFormatting>
  <conditionalFormatting sqref="L239:L241">
    <cfRule type="cellIs" priority="487" dxfId="0" operator="lessThan">
      <formula>0</formula>
    </cfRule>
  </conditionalFormatting>
  <conditionalFormatting sqref="N237">
    <cfRule type="containsText" priority="486" dxfId="99" operator="containsText" text="CHECK">
      <formula>NOT(ISERROR(SEARCH("CHECK",N237)))</formula>
    </cfRule>
  </conditionalFormatting>
  <conditionalFormatting sqref="J205:J208">
    <cfRule type="cellIs" priority="485" dxfId="0" operator="lessThan">
      <formula>0</formula>
    </cfRule>
  </conditionalFormatting>
  <conditionalFormatting sqref="C218:D218">
    <cfRule type="cellIs" priority="484" dxfId="0" operator="lessThan">
      <formula>0</formula>
    </cfRule>
  </conditionalFormatting>
  <conditionalFormatting sqref="C210:D213">
    <cfRule type="cellIs" priority="483" dxfId="0" operator="lessThan">
      <formula>0</formula>
    </cfRule>
  </conditionalFormatting>
  <conditionalFormatting sqref="J225:J233 C225:D233">
    <cfRule type="cellIs" priority="482" dxfId="0" operator="lessThan">
      <formula>0</formula>
    </cfRule>
  </conditionalFormatting>
  <conditionalFormatting sqref="J234:J235 C234:D235">
    <cfRule type="cellIs" priority="481" dxfId="0" operator="lessThan">
      <formula>0</formula>
    </cfRule>
  </conditionalFormatting>
  <conditionalFormatting sqref="J254:J264">
    <cfRule type="cellIs" priority="480" dxfId="0" operator="lessThan">
      <formula>0</formula>
    </cfRule>
  </conditionalFormatting>
  <conditionalFormatting sqref="J248:J253 C244:D248 C253:D253">
    <cfRule type="cellIs" priority="479" dxfId="0" operator="lessThan">
      <formula>0</formula>
    </cfRule>
  </conditionalFormatting>
  <conditionalFormatting sqref="C254:D256 C258:D264">
    <cfRule type="cellIs" priority="478" dxfId="0" operator="lessThan">
      <formula>0</formula>
    </cfRule>
  </conditionalFormatting>
  <conditionalFormatting sqref="C242:D243">
    <cfRule type="cellIs" priority="477" dxfId="0" operator="lessThan">
      <formula>0</formula>
    </cfRule>
  </conditionalFormatting>
  <conditionalFormatting sqref="J242:J243 J276:J281 C276:D281">
    <cfRule type="cellIs" priority="476" dxfId="0" operator="lessThan">
      <formula>0</formula>
    </cfRule>
  </conditionalFormatting>
  <conditionalFormatting sqref="L279:L281">
    <cfRule type="cellIs" priority="475" dxfId="0" operator="lessThan">
      <formula>0</formula>
    </cfRule>
  </conditionalFormatting>
  <conditionalFormatting sqref="N277">
    <cfRule type="containsText" priority="474" dxfId="99" operator="containsText" text="CHECK">
      <formula>NOT(ISERROR(SEARCH("CHECK",N277)))</formula>
    </cfRule>
  </conditionalFormatting>
  <conditionalFormatting sqref="J244:J247">
    <cfRule type="cellIs" priority="473" dxfId="0" operator="lessThan">
      <formula>0</formula>
    </cfRule>
  </conditionalFormatting>
  <conditionalFormatting sqref="C257:D257">
    <cfRule type="cellIs" priority="472" dxfId="0" operator="lessThan">
      <formula>0</formula>
    </cfRule>
  </conditionalFormatting>
  <conditionalFormatting sqref="C249:D252">
    <cfRule type="cellIs" priority="471" dxfId="0" operator="lessThan">
      <formula>0</formula>
    </cfRule>
  </conditionalFormatting>
  <conditionalFormatting sqref="J265:J273 C265:D273">
    <cfRule type="cellIs" priority="470" dxfId="0" operator="lessThan">
      <formula>0</formula>
    </cfRule>
  </conditionalFormatting>
  <conditionalFormatting sqref="J274 C274:D274">
    <cfRule type="cellIs" priority="469" dxfId="0" operator="lessThan">
      <formula>0</formula>
    </cfRule>
  </conditionalFormatting>
  <conditionalFormatting sqref="J288:J293 C284:D288 C293:D293">
    <cfRule type="cellIs" priority="455" dxfId="0" operator="lessThan">
      <formula>0</formula>
    </cfRule>
  </conditionalFormatting>
  <conditionalFormatting sqref="C294:D296">
    <cfRule type="cellIs" priority="454" dxfId="0" operator="lessThan">
      <formula>0</formula>
    </cfRule>
  </conditionalFormatting>
  <conditionalFormatting sqref="C282:D283">
    <cfRule type="cellIs" priority="453" dxfId="0" operator="lessThan">
      <formula>0</formula>
    </cfRule>
  </conditionalFormatting>
  <conditionalFormatting sqref="J282:J283 J313:J318 C313:D318">
    <cfRule type="cellIs" priority="452" dxfId="0" operator="lessThan">
      <formula>0</formula>
    </cfRule>
  </conditionalFormatting>
  <conditionalFormatting sqref="L316:L318">
    <cfRule type="cellIs" priority="451" dxfId="0" operator="lessThan">
      <formula>0</formula>
    </cfRule>
  </conditionalFormatting>
  <conditionalFormatting sqref="N314">
    <cfRule type="containsText" priority="450" dxfId="99" operator="containsText" text="CHECK">
      <formula>NOT(ISERROR(SEARCH("CHECK",N314)))</formula>
    </cfRule>
  </conditionalFormatting>
  <conditionalFormatting sqref="J284:J287">
    <cfRule type="cellIs" priority="449" dxfId="0" operator="lessThan">
      <formula>0</formula>
    </cfRule>
  </conditionalFormatting>
  <conditionalFormatting sqref="C289:D292">
    <cfRule type="cellIs" priority="447" dxfId="0" operator="lessThan">
      <formula>0</formula>
    </cfRule>
  </conditionalFormatting>
  <conditionalFormatting sqref="J307:J308 C307:D308">
    <cfRule type="cellIs" priority="445" dxfId="0" operator="lessThan">
      <formula>0</formula>
    </cfRule>
  </conditionalFormatting>
  <conditionalFormatting sqref="J275 C275:D275">
    <cfRule type="cellIs" priority="444" dxfId="0" operator="lessThan">
      <formula>0</formula>
    </cfRule>
  </conditionalFormatting>
  <conditionalFormatting sqref="C309:D312 J309:J312">
    <cfRule type="cellIs" priority="443" dxfId="0" operator="lessThan">
      <formula>0</formula>
    </cfRule>
  </conditionalFormatting>
  <conditionalFormatting sqref="C330:D339 J326:J339">
    <cfRule type="cellIs" priority="442" dxfId="0" operator="lessThan">
      <formula>0</formula>
    </cfRule>
  </conditionalFormatting>
  <conditionalFormatting sqref="C321:D325">
    <cfRule type="cellIs" priority="441" dxfId="0" operator="lessThan">
      <formula>0</formula>
    </cfRule>
  </conditionalFormatting>
  <conditionalFormatting sqref="C326:D329">
    <cfRule type="cellIs" priority="440" dxfId="0" operator="lessThan">
      <formula>0</formula>
    </cfRule>
  </conditionalFormatting>
  <conditionalFormatting sqref="C319:D320">
    <cfRule type="cellIs" priority="439" dxfId="0" operator="lessThan">
      <formula>0</formula>
    </cfRule>
  </conditionalFormatting>
  <conditionalFormatting sqref="J319:J320 J351:J356 C351:D356">
    <cfRule type="cellIs" priority="438" dxfId="0" operator="lessThan">
      <formula>0</formula>
    </cfRule>
  </conditionalFormatting>
  <conditionalFormatting sqref="L354:L356">
    <cfRule type="cellIs" priority="437" dxfId="0" operator="lessThan">
      <formula>0</formula>
    </cfRule>
  </conditionalFormatting>
  <conditionalFormatting sqref="N352">
    <cfRule type="containsText" priority="436" dxfId="99" operator="containsText" text="CHECK">
      <formula>NOT(ISERROR(SEARCH("CHECK",N352)))</formula>
    </cfRule>
  </conditionalFormatting>
  <conditionalFormatting sqref="J321:J324">
    <cfRule type="cellIs" priority="435" dxfId="0" operator="lessThan">
      <formula>0</formula>
    </cfRule>
  </conditionalFormatting>
  <conditionalFormatting sqref="J340 C340:D340">
    <cfRule type="cellIs" priority="433" dxfId="0" operator="lessThan">
      <formula>0</formula>
    </cfRule>
  </conditionalFormatting>
  <conditionalFormatting sqref="C342:D350 J342:J350">
    <cfRule type="cellIs" priority="432" dxfId="0" operator="lessThan">
      <formula>0</formula>
    </cfRule>
  </conditionalFormatting>
  <conditionalFormatting sqref="J341 C341:D341">
    <cfRule type="cellIs" priority="431" dxfId="0" operator="lessThan">
      <formula>0</formula>
    </cfRule>
  </conditionalFormatting>
  <conditionalFormatting sqref="J363">
    <cfRule type="cellIs" priority="430" dxfId="0" operator="lessThan">
      <formula>0</formula>
    </cfRule>
  </conditionalFormatting>
  <conditionalFormatting sqref="C359:D363">
    <cfRule type="cellIs" priority="428" dxfId="0" operator="lessThan">
      <formula>0</formula>
    </cfRule>
  </conditionalFormatting>
  <conditionalFormatting sqref="C364:D367">
    <cfRule type="cellIs" priority="427" dxfId="0" operator="lessThan">
      <formula>0</formula>
    </cfRule>
  </conditionalFormatting>
  <conditionalFormatting sqref="C357:D358">
    <cfRule type="cellIs" priority="426" dxfId="0" operator="lessThan">
      <formula>0</formula>
    </cfRule>
  </conditionalFormatting>
  <conditionalFormatting sqref="J357:J358 J386:J391 C386:D391">
    <cfRule type="cellIs" priority="425" dxfId="0" operator="lessThan">
      <formula>0</formula>
    </cfRule>
  </conditionalFormatting>
  <conditionalFormatting sqref="L389:L391">
    <cfRule type="cellIs" priority="424" dxfId="0" operator="lessThan">
      <formula>0</formula>
    </cfRule>
  </conditionalFormatting>
  <conditionalFormatting sqref="N387">
    <cfRule type="containsText" priority="423" dxfId="99" operator="containsText" text="CHECK">
      <formula>NOT(ISERROR(SEARCH("CHECK",N387)))</formula>
    </cfRule>
  </conditionalFormatting>
  <conditionalFormatting sqref="J359:J362">
    <cfRule type="cellIs" priority="422" dxfId="0" operator="lessThan">
      <formula>0</formula>
    </cfRule>
  </conditionalFormatting>
  <conditionalFormatting sqref="J374 C374:D374">
    <cfRule type="cellIs" priority="421" dxfId="0" operator="lessThan">
      <formula>0</formula>
    </cfRule>
  </conditionalFormatting>
  <conditionalFormatting sqref="C376:D385 J376:J385">
    <cfRule type="cellIs" priority="420" dxfId="0" operator="lessThan">
      <formula>0</formula>
    </cfRule>
  </conditionalFormatting>
  <conditionalFormatting sqref="J375 C375:D375">
    <cfRule type="cellIs" priority="419" dxfId="0" operator="lessThan">
      <formula>0</formula>
    </cfRule>
  </conditionalFormatting>
  <conditionalFormatting sqref="C403:D408 J399:J408">
    <cfRule type="cellIs" priority="418" dxfId="0" operator="lessThan">
      <formula>0</formula>
    </cfRule>
  </conditionalFormatting>
  <conditionalFormatting sqref="J398">
    <cfRule type="cellIs" priority="417" dxfId="0" operator="lessThan">
      <formula>0</formula>
    </cfRule>
  </conditionalFormatting>
  <conditionalFormatting sqref="C394:D398">
    <cfRule type="cellIs" priority="416" dxfId="0" operator="lessThan">
      <formula>0</formula>
    </cfRule>
  </conditionalFormatting>
  <conditionalFormatting sqref="C399:D402">
    <cfRule type="cellIs" priority="415" dxfId="0" operator="lessThan">
      <formula>0</formula>
    </cfRule>
  </conditionalFormatting>
  <conditionalFormatting sqref="C392:D393">
    <cfRule type="cellIs" priority="414" dxfId="0" operator="lessThan">
      <formula>0</formula>
    </cfRule>
  </conditionalFormatting>
  <conditionalFormatting sqref="J392:J393 J424:J429 C424:D429">
    <cfRule type="cellIs" priority="413" dxfId="0" operator="lessThan">
      <formula>0</formula>
    </cfRule>
  </conditionalFormatting>
  <conditionalFormatting sqref="L427:L429">
    <cfRule type="cellIs" priority="412" dxfId="0" operator="lessThan">
      <formula>0</formula>
    </cfRule>
  </conditionalFormatting>
  <conditionalFormatting sqref="N425">
    <cfRule type="containsText" priority="411" dxfId="99" operator="containsText" text="CHECK">
      <formula>NOT(ISERROR(SEARCH("CHECK",N425)))</formula>
    </cfRule>
  </conditionalFormatting>
  <conditionalFormatting sqref="J394:J397">
    <cfRule type="cellIs" priority="410" dxfId="0" operator="lessThan">
      <formula>0</formula>
    </cfRule>
  </conditionalFormatting>
  <conditionalFormatting sqref="J409 C409:D409">
    <cfRule type="cellIs" priority="409" dxfId="0" operator="lessThan">
      <formula>0</formula>
    </cfRule>
  </conditionalFormatting>
  <conditionalFormatting sqref="C412:D423 J412:J423">
    <cfRule type="cellIs" priority="408" dxfId="0" operator="lessThan">
      <formula>0</formula>
    </cfRule>
  </conditionalFormatting>
  <conditionalFormatting sqref="J410:J411 C410:D411">
    <cfRule type="cellIs" priority="407" dxfId="0" operator="lessThan">
      <formula>0</formula>
    </cfRule>
  </conditionalFormatting>
  <conditionalFormatting sqref="C441:D446 J437:J446">
    <cfRule type="cellIs" priority="406" dxfId="0" operator="lessThan">
      <formula>0</formula>
    </cfRule>
  </conditionalFormatting>
  <conditionalFormatting sqref="J436">
    <cfRule type="cellIs" priority="405" dxfId="0" operator="lessThan">
      <formula>0</formula>
    </cfRule>
  </conditionalFormatting>
  <conditionalFormatting sqref="C432:D436">
    <cfRule type="cellIs" priority="404" dxfId="0" operator="lessThan">
      <formula>0</formula>
    </cfRule>
  </conditionalFormatting>
  <conditionalFormatting sqref="C437:D440">
    <cfRule type="cellIs" priority="403" dxfId="0" operator="lessThan">
      <formula>0</formula>
    </cfRule>
  </conditionalFormatting>
  <conditionalFormatting sqref="C430:D431">
    <cfRule type="cellIs" priority="402" dxfId="0" operator="lessThan">
      <formula>0</formula>
    </cfRule>
  </conditionalFormatting>
  <conditionalFormatting sqref="J430:J431 J464:J469 C464:D469">
    <cfRule type="cellIs" priority="401" dxfId="0" operator="lessThan">
      <formula>0</formula>
    </cfRule>
  </conditionalFormatting>
  <conditionalFormatting sqref="L467:L469">
    <cfRule type="cellIs" priority="400" dxfId="0" operator="lessThan">
      <formula>0</formula>
    </cfRule>
  </conditionalFormatting>
  <conditionalFormatting sqref="N465">
    <cfRule type="containsText" priority="399" dxfId="99" operator="containsText" text="CHECK">
      <formula>NOT(ISERROR(SEARCH("CHECK",N465)))</formula>
    </cfRule>
  </conditionalFormatting>
  <conditionalFormatting sqref="J432:J435">
    <cfRule type="cellIs" priority="398" dxfId="0" operator="lessThan">
      <formula>0</formula>
    </cfRule>
  </conditionalFormatting>
  <conditionalFormatting sqref="J447 C447:D447">
    <cfRule type="cellIs" priority="397" dxfId="0" operator="lessThan">
      <formula>0</formula>
    </cfRule>
  </conditionalFormatting>
  <conditionalFormatting sqref="C450:D463 J450:J463">
    <cfRule type="cellIs" priority="396" dxfId="0" operator="lessThan">
      <formula>0</formula>
    </cfRule>
  </conditionalFormatting>
  <conditionalFormatting sqref="J448:J449 C448:D449">
    <cfRule type="cellIs" priority="395" dxfId="0" operator="lessThan">
      <formula>0</formula>
    </cfRule>
  </conditionalFormatting>
  <conditionalFormatting sqref="C481:D487 J477:J487">
    <cfRule type="cellIs" priority="394" dxfId="0" operator="lessThan">
      <formula>0</formula>
    </cfRule>
  </conditionalFormatting>
  <conditionalFormatting sqref="J476">
    <cfRule type="cellIs" priority="393" dxfId="0" operator="lessThan">
      <formula>0</formula>
    </cfRule>
  </conditionalFormatting>
  <conditionalFormatting sqref="C472:D476">
    <cfRule type="cellIs" priority="392" dxfId="0" operator="lessThan">
      <formula>0</formula>
    </cfRule>
  </conditionalFormatting>
  <conditionalFormatting sqref="C477:D480">
    <cfRule type="cellIs" priority="391" dxfId="0" operator="lessThan">
      <formula>0</formula>
    </cfRule>
  </conditionalFormatting>
  <conditionalFormatting sqref="C470:D471">
    <cfRule type="cellIs" priority="390" dxfId="0" operator="lessThan">
      <formula>0</formula>
    </cfRule>
  </conditionalFormatting>
  <conditionalFormatting sqref="J470:J471 J506:J511 C506:D511">
    <cfRule type="cellIs" priority="389" dxfId="0" operator="lessThan">
      <formula>0</formula>
    </cfRule>
  </conditionalFormatting>
  <conditionalFormatting sqref="L509:L511">
    <cfRule type="cellIs" priority="388" dxfId="0" operator="lessThan">
      <formula>0</formula>
    </cfRule>
  </conditionalFormatting>
  <conditionalFormatting sqref="N507">
    <cfRule type="containsText" priority="387" dxfId="99" operator="containsText" text="CHECK">
      <formula>NOT(ISERROR(SEARCH("CHECK",N507)))</formula>
    </cfRule>
  </conditionalFormatting>
  <conditionalFormatting sqref="J472:J475">
    <cfRule type="cellIs" priority="386" dxfId="0" operator="lessThan">
      <formula>0</formula>
    </cfRule>
  </conditionalFormatting>
  <conditionalFormatting sqref="J488 C488:D488">
    <cfRule type="cellIs" priority="385" dxfId="0" operator="lessThan">
      <formula>0</formula>
    </cfRule>
  </conditionalFormatting>
  <conditionalFormatting sqref="C491:D505 J491:J505">
    <cfRule type="cellIs" priority="384" dxfId="0" operator="lessThan">
      <formula>0</formula>
    </cfRule>
  </conditionalFormatting>
  <conditionalFormatting sqref="J489:J490 C489:D490">
    <cfRule type="cellIs" priority="383" dxfId="0" operator="lessThan">
      <formula>0</formula>
    </cfRule>
  </conditionalFormatting>
  <conditionalFormatting sqref="J514">
    <cfRule type="cellIs" priority="381" dxfId="0" operator="lessThan">
      <formula>0</formula>
    </cfRule>
  </conditionalFormatting>
  <conditionalFormatting sqref="C515:D519">
    <cfRule type="cellIs" priority="379" dxfId="0" operator="lessThan">
      <formula>0</formula>
    </cfRule>
  </conditionalFormatting>
  <conditionalFormatting sqref="C512:D513">
    <cfRule type="cellIs" priority="378" dxfId="0" operator="lessThan">
      <formula>0</formula>
    </cfRule>
  </conditionalFormatting>
  <conditionalFormatting sqref="J512:J513 J550:J555 C550:D555">
    <cfRule type="cellIs" priority="377" dxfId="0" operator="lessThan">
      <formula>0</formula>
    </cfRule>
  </conditionalFormatting>
  <conditionalFormatting sqref="L553:L555">
    <cfRule type="cellIs" priority="376" dxfId="0" operator="lessThan">
      <formula>0</formula>
    </cfRule>
  </conditionalFormatting>
  <conditionalFormatting sqref="N551">
    <cfRule type="containsText" priority="375" dxfId="99" operator="containsText" text="CHECK">
      <formula>NOT(ISERROR(SEARCH("CHECK",N551)))</formula>
    </cfRule>
  </conditionalFormatting>
  <conditionalFormatting sqref="J527 C527:D527">
    <cfRule type="cellIs" priority="373" dxfId="0" operator="lessThan">
      <formula>0</formula>
    </cfRule>
  </conditionalFormatting>
  <conditionalFormatting sqref="C530:D541 J530:J541 J543:J549 C543:D549">
    <cfRule type="cellIs" priority="372" dxfId="0" operator="lessThan">
      <formula>0</formula>
    </cfRule>
  </conditionalFormatting>
  <conditionalFormatting sqref="J528:J529 C528:D529">
    <cfRule type="cellIs" priority="371" dxfId="0" operator="lessThan">
      <formula>0</formula>
    </cfRule>
  </conditionalFormatting>
  <conditionalFormatting sqref="C558:D558 C564:D570 J559:J570">
    <cfRule type="cellIs" priority="370" dxfId="0" operator="lessThan">
      <formula>0</formula>
    </cfRule>
  </conditionalFormatting>
  <conditionalFormatting sqref="J558">
    <cfRule type="cellIs" priority="369" dxfId="0" operator="lessThan">
      <formula>0</formula>
    </cfRule>
  </conditionalFormatting>
  <conditionalFormatting sqref="C559:D563">
    <cfRule type="cellIs" priority="368" dxfId="0" operator="lessThan">
      <formula>0</formula>
    </cfRule>
  </conditionalFormatting>
  <conditionalFormatting sqref="C556:D557">
    <cfRule type="cellIs" priority="367" dxfId="0" operator="lessThan">
      <formula>0</formula>
    </cfRule>
  </conditionalFormatting>
  <conditionalFormatting sqref="J556:J557 J594:J599 C594:D599 C644:D644 J644">
    <cfRule type="cellIs" priority="366" dxfId="0" operator="lessThan">
      <formula>0</formula>
    </cfRule>
  </conditionalFormatting>
  <conditionalFormatting sqref="L597:L599 L644">
    <cfRule type="cellIs" priority="365" dxfId="0" operator="lessThan">
      <formula>0</formula>
    </cfRule>
  </conditionalFormatting>
  <conditionalFormatting sqref="N595">
    <cfRule type="containsText" priority="364" dxfId="99" operator="containsText" text="CHECK">
      <formula>NOT(ISERROR(SEARCH("CHECK",N595)))</formula>
    </cfRule>
  </conditionalFormatting>
  <conditionalFormatting sqref="J571 C571:D571">
    <cfRule type="cellIs" priority="363" dxfId="0" operator="lessThan">
      <formula>0</formula>
    </cfRule>
  </conditionalFormatting>
  <conditionalFormatting sqref="C574:D585 J574:J585 J587:J593 C587:D593">
    <cfRule type="cellIs" priority="362" dxfId="0" operator="lessThan">
      <formula>0</formula>
    </cfRule>
  </conditionalFormatting>
  <conditionalFormatting sqref="J572:J573 C572:D573">
    <cfRule type="cellIs" priority="361" dxfId="0" operator="lessThan">
      <formula>0</formula>
    </cfRule>
  </conditionalFormatting>
  <conditionalFormatting sqref="C602:D602 C609:D615 J603:J615">
    <cfRule type="cellIs" priority="360" dxfId="0" operator="lessThan">
      <formula>0</formula>
    </cfRule>
  </conditionalFormatting>
  <conditionalFormatting sqref="J602">
    <cfRule type="cellIs" priority="359" dxfId="0" operator="lessThan">
      <formula>0</formula>
    </cfRule>
  </conditionalFormatting>
  <conditionalFormatting sqref="C603:D608">
    <cfRule type="cellIs" priority="358" dxfId="0" operator="lessThan">
      <formula>0</formula>
    </cfRule>
  </conditionalFormatting>
  <conditionalFormatting sqref="C600:D601">
    <cfRule type="cellIs" priority="357" dxfId="0" operator="lessThan">
      <formula>0</formula>
    </cfRule>
  </conditionalFormatting>
  <conditionalFormatting sqref="J600:J601 J639:J643 C639:D643">
    <cfRule type="cellIs" priority="356" dxfId="0" operator="lessThan">
      <formula>0</formula>
    </cfRule>
  </conditionalFormatting>
  <conditionalFormatting sqref="L642:L643">
    <cfRule type="cellIs" priority="355" dxfId="0" operator="lessThan">
      <formula>0</formula>
    </cfRule>
  </conditionalFormatting>
  <conditionalFormatting sqref="N640">
    <cfRule type="containsText" priority="354" dxfId="99" operator="containsText" text="CHECK">
      <formula>NOT(ISERROR(SEARCH("CHECK",N640)))</formula>
    </cfRule>
  </conditionalFormatting>
  <conditionalFormatting sqref="J616 C616:D616">
    <cfRule type="cellIs" priority="353" dxfId="0" operator="lessThan">
      <formula>0</formula>
    </cfRule>
  </conditionalFormatting>
  <conditionalFormatting sqref="C619:D630 J619:J630 J632:J638 C632:D638">
    <cfRule type="cellIs" priority="352" dxfId="0" operator="lessThan">
      <formula>0</formula>
    </cfRule>
  </conditionalFormatting>
  <conditionalFormatting sqref="J617:J618 C617:D618">
    <cfRule type="cellIs" priority="351" dxfId="0" operator="lessThan">
      <formula>0</formula>
    </cfRule>
  </conditionalFormatting>
  <conditionalFormatting sqref="C647:D647 C654:D660 J648:J652 J654:J660">
    <cfRule type="cellIs" priority="348" dxfId="0" operator="lessThan">
      <formula>0</formula>
    </cfRule>
  </conditionalFormatting>
  <conditionalFormatting sqref="J647">
    <cfRule type="cellIs" priority="347" dxfId="0" operator="lessThan">
      <formula>0</formula>
    </cfRule>
  </conditionalFormatting>
  <conditionalFormatting sqref="C648:D652">
    <cfRule type="cellIs" priority="346" dxfId="0" operator="lessThan">
      <formula>0</formula>
    </cfRule>
  </conditionalFormatting>
  <conditionalFormatting sqref="C645:D646">
    <cfRule type="cellIs" priority="345" dxfId="0" operator="lessThan">
      <formula>0</formula>
    </cfRule>
  </conditionalFormatting>
  <conditionalFormatting sqref="J645:J646 J686:J691 C686:D691">
    <cfRule type="cellIs" priority="344" dxfId="0" operator="lessThan">
      <formula>0</formula>
    </cfRule>
  </conditionalFormatting>
  <conditionalFormatting sqref="L689:L691">
    <cfRule type="cellIs" priority="343" dxfId="0" operator="lessThan">
      <formula>0</formula>
    </cfRule>
  </conditionalFormatting>
  <conditionalFormatting sqref="N687">
    <cfRule type="containsText" priority="342" dxfId="99" operator="containsText" text="CHECK">
      <formula>NOT(ISERROR(SEARCH("CHECK",N687)))</formula>
    </cfRule>
  </conditionalFormatting>
  <conditionalFormatting sqref="J661 C661:D661">
    <cfRule type="cellIs" priority="341" dxfId="0" operator="lessThan">
      <formula>0</formula>
    </cfRule>
  </conditionalFormatting>
  <conditionalFormatting sqref="C664:D676 J664:J676 J678:J685 C678:D685">
    <cfRule type="cellIs" priority="340" dxfId="0" operator="lessThan">
      <formula>0</formula>
    </cfRule>
  </conditionalFormatting>
  <conditionalFormatting sqref="J662:J663 C662:D663">
    <cfRule type="cellIs" priority="339" dxfId="0" operator="lessThan">
      <formula>0</formula>
    </cfRule>
  </conditionalFormatting>
  <conditionalFormatting sqref="C542:D542 J542">
    <cfRule type="cellIs" priority="322" dxfId="0" operator="lessThan">
      <formula>0</formula>
    </cfRule>
  </conditionalFormatting>
  <conditionalFormatting sqref="C586:D586 J586">
    <cfRule type="cellIs" priority="321" dxfId="0" operator="lessThan">
      <formula>0</formula>
    </cfRule>
  </conditionalFormatting>
  <conditionalFormatting sqref="C631:D631 J631">
    <cfRule type="cellIs" priority="320" dxfId="0" operator="lessThan">
      <formula>0</formula>
    </cfRule>
  </conditionalFormatting>
  <conditionalFormatting sqref="C677:D677 J677">
    <cfRule type="cellIs" priority="319" dxfId="0" operator="lessThan">
      <formula>0</formula>
    </cfRule>
  </conditionalFormatting>
  <conditionalFormatting sqref="C694:D694 C701:D707 J695:J699 J701:J707">
    <cfRule type="cellIs" priority="317" dxfId="0" operator="lessThan">
      <formula>0</formula>
    </cfRule>
  </conditionalFormatting>
  <conditionalFormatting sqref="C695:D699">
    <cfRule type="cellIs" priority="315" dxfId="0" operator="lessThan">
      <formula>0</formula>
    </cfRule>
  </conditionalFormatting>
  <conditionalFormatting sqref="C692:D693">
    <cfRule type="cellIs" priority="314" dxfId="0" operator="lessThan">
      <formula>0</formula>
    </cfRule>
  </conditionalFormatting>
  <conditionalFormatting sqref="J692:J693 J734:J739 C734:D739">
    <cfRule type="cellIs" priority="313" dxfId="0" operator="lessThan">
      <formula>0</formula>
    </cfRule>
  </conditionalFormatting>
  <conditionalFormatting sqref="J653">
    <cfRule type="cellIs" priority="326" dxfId="0" operator="lessThan">
      <formula>0</formula>
    </cfRule>
  </conditionalFormatting>
  <conditionalFormatting sqref="C653:D653">
    <cfRule type="cellIs" priority="325" dxfId="0" operator="lessThan">
      <formula>0</formula>
    </cfRule>
  </conditionalFormatting>
  <conditionalFormatting sqref="J708 C708:D708">
    <cfRule type="cellIs" priority="310" dxfId="0" operator="lessThan">
      <formula>0</formula>
    </cfRule>
  </conditionalFormatting>
  <conditionalFormatting sqref="C712:D724 J712:J724 J726:J733 C726:D733">
    <cfRule type="cellIs" priority="309" dxfId="0" operator="lessThan">
      <formula>0</formula>
    </cfRule>
  </conditionalFormatting>
  <conditionalFormatting sqref="C711:D711 J711">
    <cfRule type="cellIs" priority="304" dxfId="0" operator="lessThan">
      <formula>0</formula>
    </cfRule>
  </conditionalFormatting>
  <conditionalFormatting sqref="J694">
    <cfRule type="cellIs" priority="316" dxfId="0" operator="lessThan">
      <formula>0</formula>
    </cfRule>
  </conditionalFormatting>
  <conditionalFormatting sqref="L737:L739">
    <cfRule type="cellIs" priority="312" dxfId="0" operator="lessThan">
      <formula>0</formula>
    </cfRule>
  </conditionalFormatting>
  <conditionalFormatting sqref="N735">
    <cfRule type="containsText" priority="311" dxfId="99" operator="containsText" text="CHECK">
      <formula>NOT(ISERROR(SEARCH("CHECK",N735)))</formula>
    </cfRule>
  </conditionalFormatting>
  <conditionalFormatting sqref="J709:J710 C709:D710">
    <cfRule type="cellIs" priority="308" dxfId="0" operator="lessThan">
      <formula>0</formula>
    </cfRule>
  </conditionalFormatting>
  <conditionalFormatting sqref="J700">
    <cfRule type="cellIs" priority="307" dxfId="0" operator="lessThan">
      <formula>0</formula>
    </cfRule>
  </conditionalFormatting>
  <conditionalFormatting sqref="C700:D700">
    <cfRule type="cellIs" priority="306" dxfId="0" operator="lessThan">
      <formula>0</formula>
    </cfRule>
  </conditionalFormatting>
  <conditionalFormatting sqref="C725:D725 J725">
    <cfRule type="cellIs" priority="305" dxfId="0" operator="lessThan">
      <formula>0</formula>
    </cfRule>
  </conditionalFormatting>
  <conditionalFormatting sqref="C742:D742 C749:D755 J743:J747 J749:J755">
    <cfRule type="cellIs" priority="303" dxfId="0" operator="lessThan">
      <formula>0</formula>
    </cfRule>
  </conditionalFormatting>
  <conditionalFormatting sqref="J742">
    <cfRule type="cellIs" priority="302" dxfId="0" operator="lessThan">
      <formula>0</formula>
    </cfRule>
  </conditionalFormatting>
  <conditionalFormatting sqref="C743:D747">
    <cfRule type="cellIs" priority="301" dxfId="0" operator="lessThan">
      <formula>0</formula>
    </cfRule>
  </conditionalFormatting>
  <conditionalFormatting sqref="C740:D741">
    <cfRule type="cellIs" priority="300" dxfId="0" operator="lessThan">
      <formula>0</formula>
    </cfRule>
  </conditionalFormatting>
  <conditionalFormatting sqref="J740:J741 J783:J788 C783:D788">
    <cfRule type="cellIs" priority="299" dxfId="0" operator="lessThan">
      <formula>0</formula>
    </cfRule>
  </conditionalFormatting>
  <conditionalFormatting sqref="L786:L788">
    <cfRule type="cellIs" priority="298" dxfId="0" operator="lessThan">
      <formula>0</formula>
    </cfRule>
  </conditionalFormatting>
  <conditionalFormatting sqref="N784">
    <cfRule type="containsText" priority="297" dxfId="99" operator="containsText" text="CHECK">
      <formula>NOT(ISERROR(SEARCH("CHECK",N784)))</formula>
    </cfRule>
  </conditionalFormatting>
  <conditionalFormatting sqref="J756 C756:D756">
    <cfRule type="cellIs" priority="296" dxfId="0" operator="lessThan">
      <formula>0</formula>
    </cfRule>
  </conditionalFormatting>
  <conditionalFormatting sqref="C761:D773 J761:J773 J775:J782 C775:D782">
    <cfRule type="cellIs" priority="295" dxfId="0" operator="lessThan">
      <formula>0</formula>
    </cfRule>
  </conditionalFormatting>
  <conditionalFormatting sqref="J757:J758 C757:D758">
    <cfRule type="cellIs" priority="294" dxfId="0" operator="lessThan">
      <formula>0</formula>
    </cfRule>
  </conditionalFormatting>
  <conditionalFormatting sqref="J748">
    <cfRule type="cellIs" priority="293" dxfId="0" operator="lessThan">
      <formula>0</formula>
    </cfRule>
  </conditionalFormatting>
  <conditionalFormatting sqref="C748:D748">
    <cfRule type="cellIs" priority="292" dxfId="0" operator="lessThan">
      <formula>0</formula>
    </cfRule>
  </conditionalFormatting>
  <conditionalFormatting sqref="C774:D774 J774">
    <cfRule type="cellIs" priority="291" dxfId="0" operator="lessThan">
      <formula>0</formula>
    </cfRule>
  </conditionalFormatting>
  <conditionalFormatting sqref="C759:D760 J759:J760">
    <cfRule type="cellIs" priority="290" dxfId="0" operator="lessThan">
      <formula>0</formula>
    </cfRule>
  </conditionalFormatting>
  <conditionalFormatting sqref="C791:D791 C798:D804 J792:J796 J798:J804">
    <cfRule type="cellIs" priority="289" dxfId="0" operator="lessThan">
      <formula>0</formula>
    </cfRule>
  </conditionalFormatting>
  <conditionalFormatting sqref="J791">
    <cfRule type="cellIs" priority="288" dxfId="0" operator="lessThan">
      <formula>0</formula>
    </cfRule>
  </conditionalFormatting>
  <conditionalFormatting sqref="C792:D796">
    <cfRule type="cellIs" priority="287" dxfId="0" operator="lessThan">
      <formula>0</formula>
    </cfRule>
  </conditionalFormatting>
  <conditionalFormatting sqref="C789:D790">
    <cfRule type="cellIs" priority="286" dxfId="0" operator="lessThan">
      <formula>0</formula>
    </cfRule>
  </conditionalFormatting>
  <conditionalFormatting sqref="J789:J790 J828:J833 C828:D833 C877:D878 J877:J878">
    <cfRule type="cellIs" priority="285" dxfId="0" operator="lessThan">
      <formula>0</formula>
    </cfRule>
  </conditionalFormatting>
  <conditionalFormatting sqref="L831:L833 L877:L878">
    <cfRule type="cellIs" priority="284" dxfId="0" operator="lessThan">
      <formula>0</formula>
    </cfRule>
  </conditionalFormatting>
  <conditionalFormatting sqref="N829">
    <cfRule type="containsText" priority="283" dxfId="99" operator="containsText" text="CHECK">
      <formula>NOT(ISERROR(SEARCH("CHECK",N829)))</formula>
    </cfRule>
  </conditionalFormatting>
  <conditionalFormatting sqref="J805 C805:D805">
    <cfRule type="cellIs" priority="282" dxfId="0" operator="lessThan">
      <formula>0</formula>
    </cfRule>
  </conditionalFormatting>
  <conditionalFormatting sqref="C810:D818 J810:J818">
    <cfRule type="cellIs" priority="281" dxfId="0" operator="lessThan">
      <formula>0</formula>
    </cfRule>
  </conditionalFormatting>
  <conditionalFormatting sqref="J806:J807 C806:D807">
    <cfRule type="cellIs" priority="280" dxfId="0" operator="lessThan">
      <formula>0</formula>
    </cfRule>
  </conditionalFormatting>
  <conditionalFormatting sqref="J797">
    <cfRule type="cellIs" priority="279" dxfId="0" operator="lessThan">
      <formula>0</formula>
    </cfRule>
  </conditionalFormatting>
  <conditionalFormatting sqref="C797:D797">
    <cfRule type="cellIs" priority="278" dxfId="0" operator="lessThan">
      <formula>0</formula>
    </cfRule>
  </conditionalFormatting>
  <conditionalFormatting sqref="C808:D809 J808:J809">
    <cfRule type="cellIs" priority="276" dxfId="0" operator="lessThan">
      <formula>0</formula>
    </cfRule>
  </conditionalFormatting>
  <conditionalFormatting sqref="C836:D836 C843:D849 J837:J841 J843:J849">
    <cfRule type="cellIs" priority="274" dxfId="0" operator="lessThan">
      <formula>0</formula>
    </cfRule>
  </conditionalFormatting>
  <conditionalFormatting sqref="J836">
    <cfRule type="cellIs" priority="273" dxfId="0" operator="lessThan">
      <formula>0</formula>
    </cfRule>
  </conditionalFormatting>
  <conditionalFormatting sqref="C837:D841">
    <cfRule type="cellIs" priority="272" dxfId="0" operator="lessThan">
      <formula>0</formula>
    </cfRule>
  </conditionalFormatting>
  <conditionalFormatting sqref="C834:D835">
    <cfRule type="cellIs" priority="271" dxfId="0" operator="lessThan">
      <formula>0</formula>
    </cfRule>
  </conditionalFormatting>
  <conditionalFormatting sqref="J834:J835 J873:J876 C873:D876">
    <cfRule type="cellIs" priority="270" dxfId="0" operator="lessThan">
      <formula>0</formula>
    </cfRule>
  </conditionalFormatting>
  <conditionalFormatting sqref="L876">
    <cfRule type="cellIs" priority="269" dxfId="0" operator="lessThan">
      <formula>0</formula>
    </cfRule>
  </conditionalFormatting>
  <conditionalFormatting sqref="N874">
    <cfRule type="containsText" priority="268" dxfId="99" operator="containsText" text="CHECK">
      <formula>NOT(ISERROR(SEARCH("CHECK",N874)))</formula>
    </cfRule>
  </conditionalFormatting>
  <conditionalFormatting sqref="J850 C850:D850">
    <cfRule type="cellIs" priority="267" dxfId="0" operator="lessThan">
      <formula>0</formula>
    </cfRule>
  </conditionalFormatting>
  <conditionalFormatting sqref="C855:D863 J855:J863">
    <cfRule type="cellIs" priority="266" dxfId="0" operator="lessThan">
      <formula>0</formula>
    </cfRule>
  </conditionalFormatting>
  <conditionalFormatting sqref="J851:J852 C851:D852">
    <cfRule type="cellIs" priority="265" dxfId="0" operator="lessThan">
      <formula>0</formula>
    </cfRule>
  </conditionalFormatting>
  <conditionalFormatting sqref="J842">
    <cfRule type="cellIs" priority="264" dxfId="0" operator="lessThan">
      <formula>0</formula>
    </cfRule>
  </conditionalFormatting>
  <conditionalFormatting sqref="C842:D842">
    <cfRule type="cellIs" priority="263" dxfId="0" operator="lessThan">
      <formula>0</formula>
    </cfRule>
  </conditionalFormatting>
  <conditionalFormatting sqref="C853:D854 J853:J854">
    <cfRule type="cellIs" priority="262" dxfId="0" operator="lessThan">
      <formula>0</formula>
    </cfRule>
  </conditionalFormatting>
  <conditionalFormatting sqref="J904:J913 C904:D913">
    <cfRule type="cellIs" priority="261" dxfId="0" operator="lessThan">
      <formula>0</formula>
    </cfRule>
  </conditionalFormatting>
  <conditionalFormatting sqref="C918:D919 J918:J919">
    <cfRule type="cellIs" priority="260" dxfId="0" operator="lessThan">
      <formula>0</formula>
    </cfRule>
  </conditionalFormatting>
  <conditionalFormatting sqref="L918:L919">
    <cfRule type="cellIs" priority="259" dxfId="0" operator="lessThan">
      <formula>0</formula>
    </cfRule>
  </conditionalFormatting>
  <conditionalFormatting sqref="C881:D881 C888:D894 J882:J886 J888:J894">
    <cfRule type="cellIs" priority="258" dxfId="0" operator="lessThan">
      <formula>0</formula>
    </cfRule>
  </conditionalFormatting>
  <conditionalFormatting sqref="J881">
    <cfRule type="cellIs" priority="257" dxfId="0" operator="lessThan">
      <formula>0</formula>
    </cfRule>
  </conditionalFormatting>
  <conditionalFormatting sqref="C882:D886">
    <cfRule type="cellIs" priority="256" dxfId="0" operator="lessThan">
      <formula>0</formula>
    </cfRule>
  </conditionalFormatting>
  <conditionalFormatting sqref="C879:D880">
    <cfRule type="cellIs" priority="255" dxfId="0" operator="lessThan">
      <formula>0</formula>
    </cfRule>
  </conditionalFormatting>
  <conditionalFormatting sqref="J879:J880 J914:J917 C914:D917">
    <cfRule type="cellIs" priority="254" dxfId="0" operator="lessThan">
      <formula>0</formula>
    </cfRule>
  </conditionalFormatting>
  <conditionalFormatting sqref="L917">
    <cfRule type="cellIs" priority="253" dxfId="0" operator="lessThan">
      <formula>0</formula>
    </cfRule>
  </conditionalFormatting>
  <conditionalFormatting sqref="N915">
    <cfRule type="containsText" priority="252" dxfId="99" operator="containsText" text="CHECK">
      <formula>NOT(ISERROR(SEARCH("CHECK",N915)))</formula>
    </cfRule>
  </conditionalFormatting>
  <conditionalFormatting sqref="J895 C895:D895">
    <cfRule type="cellIs" priority="251" dxfId="0" operator="lessThan">
      <formula>0</formula>
    </cfRule>
  </conditionalFormatting>
  <conditionalFormatting sqref="J896:J897 C896:D897">
    <cfRule type="cellIs" priority="249" dxfId="0" operator="lessThan">
      <formula>0</formula>
    </cfRule>
  </conditionalFormatting>
  <conditionalFormatting sqref="J887">
    <cfRule type="cellIs" priority="248" dxfId="0" operator="lessThan">
      <formula>0</formula>
    </cfRule>
  </conditionalFormatting>
  <conditionalFormatting sqref="C887:D887">
    <cfRule type="cellIs" priority="247" dxfId="0" operator="lessThan">
      <formula>0</formula>
    </cfRule>
  </conditionalFormatting>
  <conditionalFormatting sqref="C898:D899 J898:J899">
    <cfRule type="cellIs" priority="246" dxfId="0" operator="lessThan">
      <formula>0</formula>
    </cfRule>
  </conditionalFormatting>
  <conditionalFormatting sqref="C934:D937 J934:J937">
    <cfRule type="cellIs" priority="245" dxfId="0" operator="lessThan">
      <formula>0</formula>
    </cfRule>
  </conditionalFormatting>
  <conditionalFormatting sqref="J939:J947 C939:D947 C949:D950 J949:J950">
    <cfRule type="cellIs" priority="244" dxfId="0" operator="lessThan">
      <formula>0</formula>
    </cfRule>
  </conditionalFormatting>
  <conditionalFormatting sqref="C955:D956 J955:J956 J1482:J1488 C1482:D1488">
    <cfRule type="cellIs" priority="243" dxfId="0" operator="lessThan">
      <formula>0</formula>
    </cfRule>
  </conditionalFormatting>
  <conditionalFormatting sqref="L955:L956 L1482:L1488">
    <cfRule type="cellIs" priority="242" dxfId="0" operator="lessThan">
      <formula>0</formula>
    </cfRule>
  </conditionalFormatting>
  <conditionalFormatting sqref="C922:D922 C929:D933 J923:J927 J929:J933">
    <cfRule type="cellIs" priority="241" dxfId="0" operator="lessThan">
      <formula>0</formula>
    </cfRule>
  </conditionalFormatting>
  <conditionalFormatting sqref="J922">
    <cfRule type="cellIs" priority="240" dxfId="0" operator="lessThan">
      <formula>0</formula>
    </cfRule>
  </conditionalFormatting>
  <conditionalFormatting sqref="C923:D927">
    <cfRule type="cellIs" priority="239" dxfId="0" operator="lessThan">
      <formula>0</formula>
    </cfRule>
  </conditionalFormatting>
  <conditionalFormatting sqref="C920:D921">
    <cfRule type="cellIs" priority="238" dxfId="0" operator="lessThan">
      <formula>0</formula>
    </cfRule>
  </conditionalFormatting>
  <conditionalFormatting sqref="J920:J921 J951:J954 C951:D954">
    <cfRule type="cellIs" priority="237" dxfId="0" operator="lessThan">
      <formula>0</formula>
    </cfRule>
  </conditionalFormatting>
  <conditionalFormatting sqref="L954">
    <cfRule type="cellIs" priority="236" dxfId="0" operator="lessThan">
      <formula>0</formula>
    </cfRule>
  </conditionalFormatting>
  <conditionalFormatting sqref="N952">
    <cfRule type="containsText" priority="235" dxfId="99" operator="containsText" text="CHECK">
      <formula>NOT(ISERROR(SEARCH("CHECK",N952)))</formula>
    </cfRule>
  </conditionalFormatting>
  <conditionalFormatting sqref="J957:J958 J989:J992 C989:D992">
    <cfRule type="cellIs" priority="220" dxfId="0" operator="lessThan">
      <formula>0</formula>
    </cfRule>
  </conditionalFormatting>
  <conditionalFormatting sqref="L992">
    <cfRule type="cellIs" priority="219" dxfId="0" operator="lessThan">
      <formula>0</formula>
    </cfRule>
  </conditionalFormatting>
  <conditionalFormatting sqref="J928">
    <cfRule type="cellIs" priority="232" dxfId="0" operator="lessThan">
      <formula>0</formula>
    </cfRule>
  </conditionalFormatting>
  <conditionalFormatting sqref="C928:D928">
    <cfRule type="cellIs" priority="231" dxfId="0" operator="lessThan">
      <formula>0</formula>
    </cfRule>
  </conditionalFormatting>
  <conditionalFormatting sqref="C965:D966">
    <cfRule type="cellIs" priority="216" dxfId="0" operator="lessThan">
      <formula>0</formula>
    </cfRule>
  </conditionalFormatting>
  <conditionalFormatting sqref="J948 C948:D948">
    <cfRule type="cellIs" priority="229" dxfId="0" operator="lessThan">
      <formula>0</formula>
    </cfRule>
  </conditionalFormatting>
  <conditionalFormatting sqref="C972:D976 J972:J976">
    <cfRule type="cellIs" priority="228" dxfId="0" operator="lessThan">
      <formula>0</formula>
    </cfRule>
  </conditionalFormatting>
  <conditionalFormatting sqref="J977:J985 C977:D985 C987:D988 J987:J988">
    <cfRule type="cellIs" priority="227" dxfId="0" operator="lessThan">
      <formula>0</formula>
    </cfRule>
  </conditionalFormatting>
  <conditionalFormatting sqref="C993:D994 J993:J994">
    <cfRule type="cellIs" priority="226" dxfId="0" operator="lessThan">
      <formula>0</formula>
    </cfRule>
  </conditionalFormatting>
  <conditionalFormatting sqref="L993:L994">
    <cfRule type="cellIs" priority="225" dxfId="0" operator="lessThan">
      <formula>0</formula>
    </cfRule>
  </conditionalFormatting>
  <conditionalFormatting sqref="C959:D959 C967:D971 J960:J964 J967:J971">
    <cfRule type="cellIs" priority="224" dxfId="0" operator="lessThan">
      <formula>0</formula>
    </cfRule>
  </conditionalFormatting>
  <conditionalFormatting sqref="J959">
    <cfRule type="cellIs" priority="223" dxfId="0" operator="lessThan">
      <formula>0</formula>
    </cfRule>
  </conditionalFormatting>
  <conditionalFormatting sqref="C960:D964">
    <cfRule type="cellIs" priority="222" dxfId="0" operator="lessThan">
      <formula>0</formula>
    </cfRule>
  </conditionalFormatting>
  <conditionalFormatting sqref="C957:D958">
    <cfRule type="cellIs" priority="221" dxfId="0" operator="lessThan">
      <formula>0</formula>
    </cfRule>
  </conditionalFormatting>
  <conditionalFormatting sqref="N990">
    <cfRule type="containsText" priority="218" dxfId="99" operator="containsText" text="CHECK">
      <formula>NOT(ISERROR(SEARCH("CHECK",N990)))</formula>
    </cfRule>
  </conditionalFormatting>
  <conditionalFormatting sqref="J965:J966">
    <cfRule type="cellIs" priority="217" dxfId="0" operator="lessThan">
      <formula>0</formula>
    </cfRule>
  </conditionalFormatting>
  <conditionalFormatting sqref="J986 C986:D986">
    <cfRule type="cellIs" priority="215" dxfId="0" operator="lessThan">
      <formula>0</formula>
    </cfRule>
  </conditionalFormatting>
  <conditionalFormatting sqref="C938:D938 J938">
    <cfRule type="cellIs" priority="214" dxfId="0" operator="lessThan">
      <formula>0</formula>
    </cfRule>
  </conditionalFormatting>
  <conditionalFormatting sqref="J995:J996 J1029:J1032 C1029:D1032">
    <cfRule type="cellIs" priority="205" dxfId="0" operator="lessThan">
      <formula>0</formula>
    </cfRule>
  </conditionalFormatting>
  <conditionalFormatting sqref="L1032">
    <cfRule type="cellIs" priority="204" dxfId="0" operator="lessThan">
      <formula>0</formula>
    </cfRule>
  </conditionalFormatting>
  <conditionalFormatting sqref="C1003:D1004">
    <cfRule type="cellIs" priority="201" dxfId="0" operator="lessThan">
      <formula>0</formula>
    </cfRule>
  </conditionalFormatting>
  <conditionalFormatting sqref="C1010:D1014 J1010:J1014">
    <cfRule type="cellIs" priority="213" dxfId="0" operator="lessThan">
      <formula>0</formula>
    </cfRule>
  </conditionalFormatting>
  <conditionalFormatting sqref="J1015:J1025 C1015:D1025 C1027:D1028 J1027:J1028">
    <cfRule type="cellIs" priority="212" dxfId="0" operator="lessThan">
      <formula>0</formula>
    </cfRule>
  </conditionalFormatting>
  <conditionalFormatting sqref="C1033:D1034 J1033:J1034">
    <cfRule type="cellIs" priority="211" dxfId="0" operator="lessThan">
      <formula>0</formula>
    </cfRule>
  </conditionalFormatting>
  <conditionalFormatting sqref="L1033:L1034">
    <cfRule type="cellIs" priority="210" dxfId="0" operator="lessThan">
      <formula>0</formula>
    </cfRule>
  </conditionalFormatting>
  <conditionalFormatting sqref="C997:D997 C1005:D1009 J998:J1002 J1005:J1009">
    <cfRule type="cellIs" priority="209" dxfId="0" operator="lessThan">
      <formula>0</formula>
    </cfRule>
  </conditionalFormatting>
  <conditionalFormatting sqref="J997">
    <cfRule type="cellIs" priority="208" dxfId="0" operator="lessThan">
      <formula>0</formula>
    </cfRule>
  </conditionalFormatting>
  <conditionalFormatting sqref="C998:D1002">
    <cfRule type="cellIs" priority="207" dxfId="0" operator="lessThan">
      <formula>0</formula>
    </cfRule>
  </conditionalFormatting>
  <conditionalFormatting sqref="C995:D996">
    <cfRule type="cellIs" priority="206" dxfId="0" operator="lessThan">
      <formula>0</formula>
    </cfRule>
  </conditionalFormatting>
  <conditionalFormatting sqref="N1030">
    <cfRule type="containsText" priority="203" dxfId="99" operator="containsText" text="CHECK">
      <formula>NOT(ISERROR(SEARCH("CHECK",N1030)))</formula>
    </cfRule>
  </conditionalFormatting>
  <conditionalFormatting sqref="J1003:J1004">
    <cfRule type="cellIs" priority="202" dxfId="0" operator="lessThan">
      <formula>0</formula>
    </cfRule>
  </conditionalFormatting>
  <conditionalFormatting sqref="J1026 C1026:D1026">
    <cfRule type="cellIs" priority="200" dxfId="0" operator="lessThan">
      <formula>0</formula>
    </cfRule>
  </conditionalFormatting>
  <conditionalFormatting sqref="J1035:J1036 C1065:D1072 J1065:J1072">
    <cfRule type="cellIs" priority="191" dxfId="0" operator="lessThan">
      <formula>0</formula>
    </cfRule>
  </conditionalFormatting>
  <conditionalFormatting sqref="L1072">
    <cfRule type="cellIs" priority="190" dxfId="0" operator="lessThan">
      <formula>0</formula>
    </cfRule>
  </conditionalFormatting>
  <conditionalFormatting sqref="C1043:D1044">
    <cfRule type="cellIs" priority="187" dxfId="0" operator="lessThan">
      <formula>0</formula>
    </cfRule>
  </conditionalFormatting>
  <conditionalFormatting sqref="C1045:D1049 J1045:J1049">
    <cfRule type="cellIs" priority="199" dxfId="0" operator="lessThan">
      <formula>0</formula>
    </cfRule>
  </conditionalFormatting>
  <conditionalFormatting sqref="J1050:J1061 C1050:D1061 C1063:D1064 J1063:J1064">
    <cfRule type="cellIs" priority="198" dxfId="0" operator="lessThan">
      <formula>0</formula>
    </cfRule>
  </conditionalFormatting>
  <conditionalFormatting sqref="C1073:D1074 J1073:J1074">
    <cfRule type="cellIs" priority="197" dxfId="0" operator="lessThan">
      <formula>0</formula>
    </cfRule>
  </conditionalFormatting>
  <conditionalFormatting sqref="L1073:L1074">
    <cfRule type="cellIs" priority="196" dxfId="0" operator="lessThan">
      <formula>0</formula>
    </cfRule>
  </conditionalFormatting>
  <conditionalFormatting sqref="C1037:D1037 J1038:J1042">
    <cfRule type="cellIs" priority="195" dxfId="0" operator="lessThan">
      <formula>0</formula>
    </cfRule>
  </conditionalFormatting>
  <conditionalFormatting sqref="J1037">
    <cfRule type="cellIs" priority="194" dxfId="0" operator="lessThan">
      <formula>0</formula>
    </cfRule>
  </conditionalFormatting>
  <conditionalFormatting sqref="C1038:D1042">
    <cfRule type="cellIs" priority="193" dxfId="0" operator="lessThan">
      <formula>0</formula>
    </cfRule>
  </conditionalFormatting>
  <conditionalFormatting sqref="C1035:D1036">
    <cfRule type="cellIs" priority="192" dxfId="0" operator="lessThan">
      <formula>0</formula>
    </cfRule>
  </conditionalFormatting>
  <conditionalFormatting sqref="N1070">
    <cfRule type="containsText" priority="189" dxfId="99" operator="containsText" text="CHECK">
      <formula>NOT(ISERROR(SEARCH("CHECK",N1070)))</formula>
    </cfRule>
  </conditionalFormatting>
  <conditionalFormatting sqref="J1043:J1044">
    <cfRule type="cellIs" priority="188" dxfId="0" operator="lessThan">
      <formula>0</formula>
    </cfRule>
  </conditionalFormatting>
  <conditionalFormatting sqref="J1062 C1062:D1062">
    <cfRule type="cellIs" priority="186" dxfId="0" operator="lessThan">
      <formula>0</formula>
    </cfRule>
  </conditionalFormatting>
  <conditionalFormatting sqref="J1075:J1076 C1106:D1113 J1106:J1113">
    <cfRule type="cellIs" priority="175" dxfId="0" operator="lessThan">
      <formula>0</formula>
    </cfRule>
  </conditionalFormatting>
  <conditionalFormatting sqref="L1113">
    <cfRule type="cellIs" priority="174" dxfId="0" operator="lessThan">
      <formula>0</formula>
    </cfRule>
  </conditionalFormatting>
  <conditionalFormatting sqref="C1083:D1085">
    <cfRule type="cellIs" priority="171" dxfId="0" operator="lessThan">
      <formula>0</formula>
    </cfRule>
  </conditionalFormatting>
  <conditionalFormatting sqref="C1086:D1090 J1086:J1090">
    <cfRule type="cellIs" priority="183" dxfId="0" operator="lessThan">
      <formula>0</formula>
    </cfRule>
  </conditionalFormatting>
  <conditionalFormatting sqref="J1091:J1102 C1091:D1102 C1104:D1105 J1104:J1105">
    <cfRule type="cellIs" priority="182" dxfId="0" operator="lessThan">
      <formula>0</formula>
    </cfRule>
  </conditionalFormatting>
  <conditionalFormatting sqref="C1114:D1115 J1114:J1115">
    <cfRule type="cellIs" priority="181" dxfId="0" operator="lessThan">
      <formula>0</formula>
    </cfRule>
  </conditionalFormatting>
  <conditionalFormatting sqref="L1114:L1115">
    <cfRule type="cellIs" priority="180" dxfId="0" operator="lessThan">
      <formula>0</formula>
    </cfRule>
  </conditionalFormatting>
  <conditionalFormatting sqref="C1077:D1077 J1078:J1082">
    <cfRule type="cellIs" priority="179" dxfId="0" operator="lessThan">
      <formula>0</formula>
    </cfRule>
  </conditionalFormatting>
  <conditionalFormatting sqref="J1077">
    <cfRule type="cellIs" priority="178" dxfId="0" operator="lessThan">
      <formula>0</formula>
    </cfRule>
  </conditionalFormatting>
  <conditionalFormatting sqref="C1078:D1082">
    <cfRule type="cellIs" priority="177" dxfId="0" operator="lessThan">
      <formula>0</formula>
    </cfRule>
  </conditionalFormatting>
  <conditionalFormatting sqref="C1075:D1076">
    <cfRule type="cellIs" priority="176" dxfId="0" operator="lessThan">
      <formula>0</formula>
    </cfRule>
  </conditionalFormatting>
  <conditionalFormatting sqref="N1111">
    <cfRule type="containsText" priority="173" dxfId="99" operator="containsText" text="CHECK">
      <formula>NOT(ISERROR(SEARCH("CHECK",N1111)))</formula>
    </cfRule>
  </conditionalFormatting>
  <conditionalFormatting sqref="J1083:J1085">
    <cfRule type="cellIs" priority="172" dxfId="0" operator="lessThan">
      <formula>0</formula>
    </cfRule>
  </conditionalFormatting>
  <conditionalFormatting sqref="J1103 C1103:D1103">
    <cfRule type="cellIs" priority="170" dxfId="0" operator="lessThan">
      <formula>0</formula>
    </cfRule>
  </conditionalFormatting>
  <conditionalFormatting sqref="J1116:J1117 C1149:D1157 J1149:J1157">
    <cfRule type="cellIs" priority="161" dxfId="0" operator="lessThan">
      <formula>0</formula>
    </cfRule>
  </conditionalFormatting>
  <conditionalFormatting sqref="L1157">
    <cfRule type="cellIs" priority="160" dxfId="0" operator="lessThan">
      <formula>0</formula>
    </cfRule>
  </conditionalFormatting>
  <conditionalFormatting sqref="C1124:D1127">
    <cfRule type="cellIs" priority="157" dxfId="0" operator="lessThan">
      <formula>0</formula>
    </cfRule>
  </conditionalFormatting>
  <conditionalFormatting sqref="C1128:D1132 J1128:J1132">
    <cfRule type="cellIs" priority="169" dxfId="0" operator="lessThan">
      <formula>0</formula>
    </cfRule>
  </conditionalFormatting>
  <conditionalFormatting sqref="J1133:J1145 C1133:D1145 C1147:D1148 J1147:J1148">
    <cfRule type="cellIs" priority="168" dxfId="0" operator="lessThan">
      <formula>0</formula>
    </cfRule>
  </conditionalFormatting>
  <conditionalFormatting sqref="C1158:D1159 J1158:J1159">
    <cfRule type="cellIs" priority="167" dxfId="0" operator="lessThan">
      <formula>0</formula>
    </cfRule>
  </conditionalFormatting>
  <conditionalFormatting sqref="L1158:L1159">
    <cfRule type="cellIs" priority="166" dxfId="0" operator="lessThan">
      <formula>0</formula>
    </cfRule>
  </conditionalFormatting>
  <conditionalFormatting sqref="C1118:D1118 J1119:J1123">
    <cfRule type="cellIs" priority="165" dxfId="0" operator="lessThan">
      <formula>0</formula>
    </cfRule>
  </conditionalFormatting>
  <conditionalFormatting sqref="J1118">
    <cfRule type="cellIs" priority="164" dxfId="0" operator="lessThan">
      <formula>0</formula>
    </cfRule>
  </conditionalFormatting>
  <conditionalFormatting sqref="C1119:D1123">
    <cfRule type="cellIs" priority="163" dxfId="0" operator="lessThan">
      <formula>0</formula>
    </cfRule>
  </conditionalFormatting>
  <conditionalFormatting sqref="C1116:D1117">
    <cfRule type="cellIs" priority="162" dxfId="0" operator="lessThan">
      <formula>0</formula>
    </cfRule>
  </conditionalFormatting>
  <conditionalFormatting sqref="N1155">
    <cfRule type="containsText" priority="159" dxfId="99" operator="containsText" text="CHECK">
      <formula>NOT(ISERROR(SEARCH("CHECK",N1155)))</formula>
    </cfRule>
  </conditionalFormatting>
  <conditionalFormatting sqref="J1124:J1127">
    <cfRule type="cellIs" priority="158" dxfId="0" operator="lessThan">
      <formula>0</formula>
    </cfRule>
  </conditionalFormatting>
  <conditionalFormatting sqref="J1146 C1146:D1146">
    <cfRule type="cellIs" priority="156" dxfId="0" operator="lessThan">
      <formula>0</formula>
    </cfRule>
  </conditionalFormatting>
  <conditionalFormatting sqref="J1160:J1161 C1183:D1196 J1183:J1196">
    <cfRule type="cellIs" priority="147" dxfId="0" operator="lessThan">
      <formula>0</formula>
    </cfRule>
  </conditionalFormatting>
  <conditionalFormatting sqref="L1196">
    <cfRule type="cellIs" priority="146" dxfId="0" operator="lessThan">
      <formula>0</formula>
    </cfRule>
  </conditionalFormatting>
  <conditionalFormatting sqref="C1168:D1171">
    <cfRule type="cellIs" priority="143" dxfId="0" operator="lessThan">
      <formula>0</formula>
    </cfRule>
  </conditionalFormatting>
  <conditionalFormatting sqref="J1180 C1180:D1180">
    <cfRule type="cellIs" priority="142" dxfId="0" operator="lessThan">
      <formula>0</formula>
    </cfRule>
  </conditionalFormatting>
  <conditionalFormatting sqref="C1181:D1182 J1181:J1182">
    <cfRule type="cellIs" priority="154" dxfId="0" operator="lessThan">
      <formula>0</formula>
    </cfRule>
  </conditionalFormatting>
  <conditionalFormatting sqref="C1197:D1198 J1197:J1198">
    <cfRule type="cellIs" priority="153" dxfId="0" operator="lessThan">
      <formula>0</formula>
    </cfRule>
  </conditionalFormatting>
  <conditionalFormatting sqref="L1197:L1198">
    <cfRule type="cellIs" priority="152" dxfId="0" operator="lessThan">
      <formula>0</formula>
    </cfRule>
  </conditionalFormatting>
  <conditionalFormatting sqref="C1162:D1162 J1163:J1167">
    <cfRule type="cellIs" priority="151" dxfId="0" operator="lessThan">
      <formula>0</formula>
    </cfRule>
  </conditionalFormatting>
  <conditionalFormatting sqref="J1162">
    <cfRule type="cellIs" priority="150" dxfId="0" operator="lessThan">
      <formula>0</formula>
    </cfRule>
  </conditionalFormatting>
  <conditionalFormatting sqref="C1163:D1167">
    <cfRule type="cellIs" priority="149" dxfId="0" operator="lessThan">
      <formula>0</formula>
    </cfRule>
  </conditionalFormatting>
  <conditionalFormatting sqref="C1160:D1161">
    <cfRule type="cellIs" priority="148" dxfId="0" operator="lessThan">
      <formula>0</formula>
    </cfRule>
  </conditionalFormatting>
  <conditionalFormatting sqref="N1194">
    <cfRule type="containsText" priority="145" dxfId="99" operator="containsText" text="CHECK">
      <formula>NOT(ISERROR(SEARCH("CHECK",N1194)))</formula>
    </cfRule>
  </conditionalFormatting>
  <conditionalFormatting sqref="J1168:J1171">
    <cfRule type="cellIs" priority="144" dxfId="0" operator="lessThan">
      <formula>0</formula>
    </cfRule>
  </conditionalFormatting>
  <conditionalFormatting sqref="C1207:D1210">
    <cfRule type="cellIs" priority="124" dxfId="0" operator="lessThan">
      <formula>0</formula>
    </cfRule>
  </conditionalFormatting>
  <conditionalFormatting sqref="J1199:J1200 C1222:D1227 J1222:J1230 C1233:D1236 C1228:C1230 J1233:J1236">
    <cfRule type="cellIs" priority="134" dxfId="0" operator="lessThan">
      <formula>0</formula>
    </cfRule>
  </conditionalFormatting>
  <conditionalFormatting sqref="L1236">
    <cfRule type="cellIs" priority="133" dxfId="0" operator="lessThan">
      <formula>0</formula>
    </cfRule>
  </conditionalFormatting>
  <conditionalFormatting sqref="J1207:J1210">
    <cfRule type="cellIs" priority="125" dxfId="0" operator="lessThan">
      <formula>0</formula>
    </cfRule>
  </conditionalFormatting>
  <conditionalFormatting sqref="C1220:D1221 J1220:J1221">
    <cfRule type="cellIs" priority="141" dxfId="0" operator="lessThan">
      <formula>0</formula>
    </cfRule>
  </conditionalFormatting>
  <conditionalFormatting sqref="C1237:D1238 J1237:J1238">
    <cfRule type="cellIs" priority="140" dxfId="0" operator="lessThan">
      <formula>0</formula>
    </cfRule>
  </conditionalFormatting>
  <conditionalFormatting sqref="L1237:L1238">
    <cfRule type="cellIs" priority="139" dxfId="0" operator="lessThan">
      <formula>0</formula>
    </cfRule>
  </conditionalFormatting>
  <conditionalFormatting sqref="C1199:D1200">
    <cfRule type="cellIs" priority="135" dxfId="0" operator="lessThan">
      <formula>0</formula>
    </cfRule>
  </conditionalFormatting>
  <conditionalFormatting sqref="N1234">
    <cfRule type="containsText" priority="132" dxfId="99" operator="containsText" text="CHECK">
      <formula>NOT(ISERROR(SEARCH("CHECK",N1234)))</formula>
    </cfRule>
  </conditionalFormatting>
  <conditionalFormatting sqref="C1202:D1206">
    <cfRule type="cellIs" priority="126" dxfId="0" operator="lessThan">
      <formula>0</formula>
    </cfRule>
  </conditionalFormatting>
  <conditionalFormatting sqref="J1219 C1219:D1219">
    <cfRule type="cellIs" priority="129" dxfId="0" operator="lessThan">
      <formula>0</formula>
    </cfRule>
  </conditionalFormatting>
  <conditionalFormatting sqref="C1201:D1201 J1202:J1206">
    <cfRule type="cellIs" priority="128" dxfId="0" operator="lessThan">
      <formula>0</formula>
    </cfRule>
  </conditionalFormatting>
  <conditionalFormatting sqref="J1201">
    <cfRule type="cellIs" priority="127" dxfId="0" operator="lessThan">
      <formula>0</formula>
    </cfRule>
  </conditionalFormatting>
  <conditionalFormatting sqref="D1228:D1230">
    <cfRule type="cellIs" priority="110" dxfId="0" operator="lessThan">
      <formula>0</formula>
    </cfRule>
  </conditionalFormatting>
  <conditionalFormatting sqref="C1231:D1232 J1231:J1232">
    <cfRule type="cellIs" priority="109" dxfId="0" operator="lessThan">
      <formula>0</formula>
    </cfRule>
  </conditionalFormatting>
  <conditionalFormatting sqref="D1241:D1243">
    <cfRule type="cellIs" priority="94" dxfId="0" operator="lessThan">
      <formula>0</formula>
    </cfRule>
  </conditionalFormatting>
  <conditionalFormatting sqref="J1239:J1240 C1247:D1250 C1241:C1243 J1247:J1250">
    <cfRule type="cellIs" priority="103" dxfId="0" operator="lessThan">
      <formula>0</formula>
    </cfRule>
  </conditionalFormatting>
  <conditionalFormatting sqref="L1250">
    <cfRule type="cellIs" priority="102" dxfId="0" operator="lessThan">
      <formula>0</formula>
    </cfRule>
  </conditionalFormatting>
  <conditionalFormatting sqref="C1251:D1252 J1251:J1252">
    <cfRule type="cellIs" priority="106" dxfId="0" operator="lessThan">
      <formula>0</formula>
    </cfRule>
  </conditionalFormatting>
  <conditionalFormatting sqref="L1251:L1252">
    <cfRule type="cellIs" priority="105" dxfId="0" operator="lessThan">
      <formula>0</formula>
    </cfRule>
  </conditionalFormatting>
  <conditionalFormatting sqref="C1239:D1240">
    <cfRule type="cellIs" priority="104" dxfId="0" operator="lessThan">
      <formula>0</formula>
    </cfRule>
  </conditionalFormatting>
  <conditionalFormatting sqref="N1248">
    <cfRule type="containsText" priority="101" dxfId="99" operator="containsText" text="CHECK">
      <formula>NOT(ISERROR(SEARCH("CHECK",N1248)))</formula>
    </cfRule>
  </conditionalFormatting>
  <conditionalFormatting sqref="C1244:D1244 J1244">
    <cfRule type="cellIs" priority="93" dxfId="0" operator="lessThan">
      <formula>0</formula>
    </cfRule>
  </conditionalFormatting>
  <conditionalFormatting sqref="C1245:D1246 J1245:J1246">
    <cfRule type="cellIs" priority="92" dxfId="0" operator="lessThan">
      <formula>0</formula>
    </cfRule>
  </conditionalFormatting>
  <conditionalFormatting sqref="J1255:J1261">
    <cfRule type="cellIs" priority="91" dxfId="0" operator="lessThan">
      <formula>0</formula>
    </cfRule>
  </conditionalFormatting>
  <conditionalFormatting sqref="D1255:D1261">
    <cfRule type="cellIs" priority="84" dxfId="0" operator="lessThan">
      <formula>0</formula>
    </cfRule>
  </conditionalFormatting>
  <conditionalFormatting sqref="J1253:J1254 C1262:D1265 C1255:C1261 J1262:J1265">
    <cfRule type="cellIs" priority="87" dxfId="0" operator="lessThan">
      <formula>0</formula>
    </cfRule>
  </conditionalFormatting>
  <conditionalFormatting sqref="L1265">
    <cfRule type="cellIs" priority="86" dxfId="0" operator="lessThan">
      <formula>0</formula>
    </cfRule>
  </conditionalFormatting>
  <conditionalFormatting sqref="C1266:D1267 J1266:J1267">
    <cfRule type="cellIs" priority="90" dxfId="0" operator="lessThan">
      <formula>0</formula>
    </cfRule>
  </conditionalFormatting>
  <conditionalFormatting sqref="L1266:L1267">
    <cfRule type="cellIs" priority="89" dxfId="0" operator="lessThan">
      <formula>0</formula>
    </cfRule>
  </conditionalFormatting>
  <conditionalFormatting sqref="C1253:D1254">
    <cfRule type="cellIs" priority="88" dxfId="0" operator="lessThan">
      <formula>0</formula>
    </cfRule>
  </conditionalFormatting>
  <conditionalFormatting sqref="N1263">
    <cfRule type="containsText" priority="85" dxfId="99" operator="containsText" text="CHECK">
      <formula>NOT(ISERROR(SEARCH("CHECK",N1263)))</formula>
    </cfRule>
  </conditionalFormatting>
  <conditionalFormatting sqref="J1270:J1277">
    <cfRule type="cellIs" priority="81" dxfId="0" operator="lessThan">
      <formula>0</formula>
    </cfRule>
  </conditionalFormatting>
  <conditionalFormatting sqref="D1270:D1277">
    <cfRule type="cellIs" priority="74" dxfId="0" operator="lessThan">
      <formula>0</formula>
    </cfRule>
  </conditionalFormatting>
  <conditionalFormatting sqref="J1268:J1269 C1278:D1281 C1270:C1277 J1278:J1281">
    <cfRule type="cellIs" priority="77" dxfId="0" operator="lessThan">
      <formula>0</formula>
    </cfRule>
  </conditionalFormatting>
  <conditionalFormatting sqref="L1281">
    <cfRule type="cellIs" priority="76" dxfId="0" operator="lessThan">
      <formula>0</formula>
    </cfRule>
  </conditionalFormatting>
  <conditionalFormatting sqref="C1282:D1283 J1282:J1283">
    <cfRule type="cellIs" priority="80" dxfId="0" operator="lessThan">
      <formula>0</formula>
    </cfRule>
  </conditionalFormatting>
  <conditionalFormatting sqref="L1282:L1283">
    <cfRule type="cellIs" priority="79" dxfId="0" operator="lessThan">
      <formula>0</formula>
    </cfRule>
  </conditionalFormatting>
  <conditionalFormatting sqref="C1268:D1269">
    <cfRule type="cellIs" priority="78" dxfId="0" operator="lessThan">
      <formula>0</formula>
    </cfRule>
  </conditionalFormatting>
  <conditionalFormatting sqref="N1279">
    <cfRule type="containsText" priority="75" dxfId="99" operator="containsText" text="CHECK">
      <formula>NOT(ISERROR(SEARCH("CHECK",N1279)))</formula>
    </cfRule>
  </conditionalFormatting>
  <conditionalFormatting sqref="J1286:J1297">
    <cfRule type="cellIs" priority="73" dxfId="0" operator="lessThan">
      <formula>0</formula>
    </cfRule>
  </conditionalFormatting>
  <conditionalFormatting sqref="D1286:D1297">
    <cfRule type="cellIs" priority="66" dxfId="0" operator="lessThan">
      <formula>0</formula>
    </cfRule>
  </conditionalFormatting>
  <conditionalFormatting sqref="J1284:J1285 C1298:D1301 C1286:C1297 J1298:J1301">
    <cfRule type="cellIs" priority="69" dxfId="0" operator="lessThan">
      <formula>0</formula>
    </cfRule>
  </conditionalFormatting>
  <conditionalFormatting sqref="L1301">
    <cfRule type="cellIs" priority="68" dxfId="0" operator="lessThan">
      <formula>0</formula>
    </cfRule>
  </conditionalFormatting>
  <conditionalFormatting sqref="C1302:D1303 J1302:J1303">
    <cfRule type="cellIs" priority="72" dxfId="0" operator="lessThan">
      <formula>0</formula>
    </cfRule>
  </conditionalFormatting>
  <conditionalFormatting sqref="L1302:L1303">
    <cfRule type="cellIs" priority="71" dxfId="0" operator="lessThan">
      <formula>0</formula>
    </cfRule>
  </conditionalFormatting>
  <conditionalFormatting sqref="C1284:D1285">
    <cfRule type="cellIs" priority="70" dxfId="0" operator="lessThan">
      <formula>0</formula>
    </cfRule>
  </conditionalFormatting>
  <conditionalFormatting sqref="N1299">
    <cfRule type="containsText" priority="67" dxfId="99" operator="containsText" text="CHECK">
      <formula>NOT(ISERROR(SEARCH("CHECK",N1299)))</formula>
    </cfRule>
  </conditionalFormatting>
  <conditionalFormatting sqref="J1304:J1305 C1317:D1320 J1317:J1320">
    <cfRule type="cellIs" priority="53" dxfId="0" operator="lessThan">
      <formula>0</formula>
    </cfRule>
  </conditionalFormatting>
  <conditionalFormatting sqref="L1320">
    <cfRule type="cellIs" priority="52" dxfId="0" operator="lessThan">
      <formula>0</formula>
    </cfRule>
  </conditionalFormatting>
  <conditionalFormatting sqref="C1321:D1322 J1321:J1322">
    <cfRule type="cellIs" priority="56" dxfId="0" operator="lessThan">
      <formula>0</formula>
    </cfRule>
  </conditionalFormatting>
  <conditionalFormatting sqref="L1321:L1322">
    <cfRule type="cellIs" priority="55" dxfId="0" operator="lessThan">
      <formula>0</formula>
    </cfRule>
  </conditionalFormatting>
  <conditionalFormatting sqref="C1304:D1305">
    <cfRule type="cellIs" priority="54" dxfId="0" operator="lessThan">
      <formula>0</formula>
    </cfRule>
  </conditionalFormatting>
  <conditionalFormatting sqref="N1318">
    <cfRule type="containsText" priority="51" dxfId="99" operator="containsText" text="CHECK">
      <formula>NOT(ISERROR(SEARCH("CHECK",N1318)))</formula>
    </cfRule>
  </conditionalFormatting>
  <conditionalFormatting sqref="J1323:J1324 C1334:D1337 J1334:J1337">
    <cfRule type="cellIs" priority="45" dxfId="0" operator="lessThan">
      <formula>0</formula>
    </cfRule>
  </conditionalFormatting>
  <conditionalFormatting sqref="L1337">
    <cfRule type="cellIs" priority="44" dxfId="0" operator="lessThan">
      <formula>0</formula>
    </cfRule>
  </conditionalFormatting>
  <conditionalFormatting sqref="C1338:D1339 J1338:J1339">
    <cfRule type="cellIs" priority="48" dxfId="0" operator="lessThan">
      <formula>0</formula>
    </cfRule>
  </conditionalFormatting>
  <conditionalFormatting sqref="L1338:L1339">
    <cfRule type="cellIs" priority="47" dxfId="0" operator="lessThan">
      <formula>0</formula>
    </cfRule>
  </conditionalFormatting>
  <conditionalFormatting sqref="C1323:D1324">
    <cfRule type="cellIs" priority="46" dxfId="0" operator="lessThan">
      <formula>0</formula>
    </cfRule>
  </conditionalFormatting>
  <conditionalFormatting sqref="N1335">
    <cfRule type="containsText" priority="43" dxfId="99" operator="containsText" text="CHECK">
      <formula>NOT(ISERROR(SEARCH("CHECK",N1335)))</formula>
    </cfRule>
  </conditionalFormatting>
  <conditionalFormatting sqref="J1342:J1357 C1342:D1357">
    <cfRule type="cellIs" priority="42" dxfId="0" operator="lessThan">
      <formula>0</formula>
    </cfRule>
  </conditionalFormatting>
  <conditionalFormatting sqref="J1340:J1341 C1358:D1361 J1358:J1361">
    <cfRule type="cellIs" priority="38" dxfId="0" operator="lessThan">
      <formula>0</formula>
    </cfRule>
  </conditionalFormatting>
  <conditionalFormatting sqref="L1361">
    <cfRule type="cellIs" priority="37" dxfId="0" operator="lessThan">
      <formula>0</formula>
    </cfRule>
  </conditionalFormatting>
  <conditionalFormatting sqref="C1362:D1363 J1362:J1363">
    <cfRule type="cellIs" priority="41" dxfId="0" operator="lessThan">
      <formula>0</formula>
    </cfRule>
  </conditionalFormatting>
  <conditionalFormatting sqref="L1362:L1363">
    <cfRule type="cellIs" priority="40" dxfId="0" operator="lessThan">
      <formula>0</formula>
    </cfRule>
  </conditionalFormatting>
  <conditionalFormatting sqref="C1340:D1341">
    <cfRule type="cellIs" priority="39" dxfId="0" operator="lessThan">
      <formula>0</formula>
    </cfRule>
  </conditionalFormatting>
  <conditionalFormatting sqref="N1359">
    <cfRule type="containsText" priority="36" dxfId="99" operator="containsText" text="CHECK">
      <formula>NOT(ISERROR(SEARCH("CHECK",N1359)))</formula>
    </cfRule>
  </conditionalFormatting>
  <conditionalFormatting sqref="J1364:J1365 C1386:D1389 J1386:J1389">
    <cfRule type="cellIs" priority="31" dxfId="0" operator="lessThan">
      <formula>0</formula>
    </cfRule>
  </conditionalFormatting>
  <conditionalFormatting sqref="L1389">
    <cfRule type="cellIs" priority="30" dxfId="0" operator="lessThan">
      <formula>0</formula>
    </cfRule>
  </conditionalFormatting>
  <conditionalFormatting sqref="C1390:D1391 J1390:J1391">
    <cfRule type="cellIs" priority="34" dxfId="0" operator="lessThan">
      <formula>0</formula>
    </cfRule>
  </conditionalFormatting>
  <conditionalFormatting sqref="L1390:L1391">
    <cfRule type="cellIs" priority="33" dxfId="0" operator="lessThan">
      <formula>0</formula>
    </cfRule>
  </conditionalFormatting>
  <conditionalFormatting sqref="C1364:D1365">
    <cfRule type="cellIs" priority="32" dxfId="0" operator="lessThan">
      <formula>0</formula>
    </cfRule>
  </conditionalFormatting>
  <conditionalFormatting sqref="N1387">
    <cfRule type="containsText" priority="29" dxfId="99" operator="containsText" text="CHECK">
      <formula>NOT(ISERROR(SEARCH("CHECK",N1387)))</formula>
    </cfRule>
  </conditionalFormatting>
  <conditionalFormatting sqref="C1394:D1396 C1398:D1415 J1394:J1415">
    <cfRule type="cellIs" priority="28" dxfId="0" operator="lessThan">
      <formula>0</formula>
    </cfRule>
  </conditionalFormatting>
  <conditionalFormatting sqref="J1392:J1393 C1416:D1419 J1416:J1419">
    <cfRule type="cellIs" priority="24" dxfId="0" operator="lessThan">
      <formula>0</formula>
    </cfRule>
  </conditionalFormatting>
  <conditionalFormatting sqref="L1419">
    <cfRule type="cellIs" priority="23" dxfId="0" operator="lessThan">
      <formula>0</formula>
    </cfRule>
  </conditionalFormatting>
  <conditionalFormatting sqref="C1420:D1421 J1420:J1421">
    <cfRule type="cellIs" priority="27" dxfId="0" operator="lessThan">
      <formula>0</formula>
    </cfRule>
  </conditionalFormatting>
  <conditionalFormatting sqref="L1420:L1421">
    <cfRule type="cellIs" priority="26" dxfId="0" operator="lessThan">
      <formula>0</formula>
    </cfRule>
  </conditionalFormatting>
  <conditionalFormatting sqref="C1392:D1393">
    <cfRule type="cellIs" priority="25" dxfId="0" operator="lessThan">
      <formula>0</formula>
    </cfRule>
  </conditionalFormatting>
  <conditionalFormatting sqref="N1417">
    <cfRule type="containsText" priority="22" dxfId="99" operator="containsText" text="CHECK">
      <formula>NOT(ISERROR(SEARCH("CHECK",N1417)))</formula>
    </cfRule>
  </conditionalFormatting>
  <conditionalFormatting sqref="J1424:J1426 C1424:D1426 C1428:D1431 J1428:J1431">
    <cfRule type="cellIs" priority="21" dxfId="0" operator="lessThan">
      <formula>0</formula>
    </cfRule>
  </conditionalFormatting>
  <conditionalFormatting sqref="J1422:J1423 C1447:D1450 J1447:J1450">
    <cfRule type="cellIs" priority="17" dxfId="0" operator="lessThan">
      <formula>0</formula>
    </cfRule>
  </conditionalFormatting>
  <conditionalFormatting sqref="L1450">
    <cfRule type="cellIs" priority="16" dxfId="0" operator="lessThan">
      <formula>0</formula>
    </cfRule>
  </conditionalFormatting>
  <conditionalFormatting sqref="C1451:D1452 J1451:J1452">
    <cfRule type="cellIs" priority="20" dxfId="0" operator="lessThan">
      <formula>0</formula>
    </cfRule>
  </conditionalFormatting>
  <conditionalFormatting sqref="L1451:L1452">
    <cfRule type="cellIs" priority="19" dxfId="0" operator="lessThan">
      <formula>0</formula>
    </cfRule>
  </conditionalFormatting>
  <conditionalFormatting sqref="C1422:D1423">
    <cfRule type="cellIs" priority="18" dxfId="0" operator="lessThan">
      <formula>0</formula>
    </cfRule>
  </conditionalFormatting>
  <conditionalFormatting sqref="N1448">
    <cfRule type="containsText" priority="15" dxfId="99" operator="containsText" text="CHECK">
      <formula>NOT(ISERROR(SEARCH("CHECK",N1448)))</formula>
    </cfRule>
  </conditionalFormatting>
  <conditionalFormatting sqref="C1397:D1397">
    <cfRule type="cellIs" priority="14" dxfId="0" operator="lessThan">
      <formula>0</formula>
    </cfRule>
  </conditionalFormatting>
  <conditionalFormatting sqref="J1427">
    <cfRule type="cellIs" priority="13" dxfId="0" operator="lessThan">
      <formula>0</formula>
    </cfRule>
  </conditionalFormatting>
  <conditionalFormatting sqref="C1427:D1427">
    <cfRule type="cellIs" priority="12" dxfId="0" operator="lessThan">
      <formula>0</formula>
    </cfRule>
  </conditionalFormatting>
  <conditionalFormatting sqref="C1432:D1432 J1432">
    <cfRule type="cellIs" priority="11" dxfId="0" operator="lessThan">
      <formula>0</formula>
    </cfRule>
  </conditionalFormatting>
  <conditionalFormatting sqref="J1455:J1457 C1455:D1457 C1459:D1462 J1459:J1462">
    <cfRule type="cellIs" priority="10" dxfId="0" operator="lessThan">
      <formula>0</formula>
    </cfRule>
  </conditionalFormatting>
  <conditionalFormatting sqref="J1453:J1454 C1474:D1477 J1474:J1477">
    <cfRule type="cellIs" priority="6" dxfId="0" operator="lessThan">
      <formula>0</formula>
    </cfRule>
  </conditionalFormatting>
  <conditionalFormatting sqref="L1477">
    <cfRule type="cellIs" priority="5" dxfId="0" operator="lessThan">
      <formula>0</formula>
    </cfRule>
  </conditionalFormatting>
  <conditionalFormatting sqref="C1478:D1479 J1478:J1479">
    <cfRule type="cellIs" priority="9" dxfId="0" operator="lessThan">
      <formula>0</formula>
    </cfRule>
  </conditionalFormatting>
  <conditionalFormatting sqref="L1478:L1479">
    <cfRule type="cellIs" priority="8" dxfId="0" operator="lessThan">
      <formula>0</formula>
    </cfRule>
  </conditionalFormatting>
  <conditionalFormatting sqref="C1453:D1454">
    <cfRule type="cellIs" priority="7" dxfId="0" operator="lessThan">
      <formula>0</formula>
    </cfRule>
  </conditionalFormatting>
  <conditionalFormatting sqref="N1475">
    <cfRule type="containsText" priority="4" dxfId="99" operator="containsText" text="CHECK">
      <formula>NOT(ISERROR(SEARCH("CHECK",N1475)))</formula>
    </cfRule>
  </conditionalFormatting>
  <conditionalFormatting sqref="J1458">
    <cfRule type="cellIs" priority="3" dxfId="0" operator="lessThan">
      <formula>0</formula>
    </cfRule>
  </conditionalFormatting>
  <conditionalFormatting sqref="C1458:D1458">
    <cfRule type="cellIs" priority="2" dxfId="0" operator="lessThan">
      <formula>0</formula>
    </cfRule>
  </conditionalFormatting>
  <conditionalFormatting sqref="C1463:D1463 J1463">
    <cfRule type="cellIs" priority="1" dxfId="0" operator="lessThan">
      <formula>0</formula>
    </cfRule>
  </conditionalFormatting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99"/>
  <sheetViews>
    <sheetView zoomScale="80" zoomScaleNormal="80" workbookViewId="0" topLeftCell="A1">
      <pane ySplit="1" topLeftCell="A2" activePane="bottomLeft" state="frozen"/>
      <selection pane="bottomLeft" activeCell="E33" sqref="E33"/>
    </sheetView>
  </sheetViews>
  <sheetFormatPr defaultColWidth="9.140625" defaultRowHeight="15"/>
  <cols>
    <col min="1" max="1" width="12.28125" style="0" customWidth="1"/>
    <col min="2" max="2" width="9.7109375" style="29" customWidth="1"/>
    <col min="3" max="3" width="11.28125" style="34" customWidth="1"/>
    <col min="4" max="5" width="9.7109375" style="34" customWidth="1"/>
    <col min="8" max="8" width="10.57421875" style="0" customWidth="1"/>
    <col min="9" max="9" width="9.7109375" style="39" customWidth="1"/>
    <col min="14" max="14" width="10.8515625" style="0" customWidth="1"/>
    <col min="15" max="15" width="10.8515625" style="114" customWidth="1"/>
    <col min="16" max="16" width="12.28125" style="0" customWidth="1"/>
    <col min="17" max="17" width="148.28125" style="0" customWidth="1"/>
    <col min="18" max="18" width="9.140625" style="69" customWidth="1"/>
    <col min="20" max="20" width="12.28125" style="69" customWidth="1"/>
  </cols>
  <sheetData>
    <row r="1" spans="1:20" s="35" customFormat="1" ht="45">
      <c r="A1" s="36" t="s">
        <v>20</v>
      </c>
      <c r="B1" s="37" t="s">
        <v>26</v>
      </c>
      <c r="C1" s="38" t="s">
        <v>27</v>
      </c>
      <c r="D1" s="38" t="s">
        <v>28</v>
      </c>
      <c r="E1" s="38" t="s">
        <v>374</v>
      </c>
      <c r="F1" s="36" t="s">
        <v>21</v>
      </c>
      <c r="G1" s="36" t="s">
        <v>22</v>
      </c>
      <c r="H1" s="36" t="s">
        <v>46</v>
      </c>
      <c r="I1" s="42" t="s">
        <v>29</v>
      </c>
      <c r="J1" s="160" t="s">
        <v>23</v>
      </c>
      <c r="K1" s="160" t="s">
        <v>24</v>
      </c>
      <c r="L1" s="160" t="s">
        <v>25</v>
      </c>
      <c r="M1" s="160" t="s">
        <v>44</v>
      </c>
      <c r="N1" s="160" t="s">
        <v>174</v>
      </c>
      <c r="O1" s="160" t="s">
        <v>175</v>
      </c>
      <c r="P1" s="133" t="s">
        <v>72</v>
      </c>
      <c r="T1" s="36"/>
    </row>
    <row r="2" spans="1:20" s="114" customFormat="1" ht="15">
      <c r="A2" s="115">
        <v>42006</v>
      </c>
      <c r="B2" s="29">
        <v>0</v>
      </c>
      <c r="C2" s="34">
        <v>0</v>
      </c>
      <c r="D2" s="156">
        <v>0</v>
      </c>
      <c r="E2" s="156">
        <f>D2</f>
        <v>0</v>
      </c>
      <c r="F2" s="113">
        <v>0</v>
      </c>
      <c r="G2" s="113">
        <v>0</v>
      </c>
      <c r="H2" s="113">
        <v>0</v>
      </c>
      <c r="I2" s="39">
        <v>0</v>
      </c>
      <c r="J2" s="40">
        <v>0</v>
      </c>
      <c r="K2" s="114">
        <v>0</v>
      </c>
      <c r="L2" s="114">
        <v>0</v>
      </c>
      <c r="M2" s="55" t="s">
        <v>42</v>
      </c>
      <c r="P2" s="134">
        <v>42005</v>
      </c>
      <c r="R2" s="61"/>
      <c r="S2" s="61"/>
      <c r="T2" s="115"/>
    </row>
    <row r="3" spans="1:20" ht="15">
      <c r="A3" s="33">
        <v>42013</v>
      </c>
      <c r="B3" s="29">
        <f>'Portfolio  Worksheet'!I25</f>
        <v>6468.359999999995</v>
      </c>
      <c r="C3" s="34">
        <f>'Portfolio  Worksheet'!J25</f>
        <v>0.06468359999999995</v>
      </c>
      <c r="D3" s="156">
        <f>'Portfolio  Worksheet'!L25</f>
        <v>0.892053470157707</v>
      </c>
      <c r="E3" s="156">
        <f aca="true" t="shared" si="0" ref="E3:E32">D3</f>
        <v>0.892053470157707</v>
      </c>
      <c r="F3" s="113">
        <v>7</v>
      </c>
      <c r="G3" s="113">
        <v>19</v>
      </c>
      <c r="H3" s="113">
        <v>19</v>
      </c>
      <c r="I3" s="39">
        <v>19</v>
      </c>
      <c r="J3" s="40">
        <f>H3/3</f>
        <v>6.333333333333333</v>
      </c>
      <c r="K3">
        <v>5</v>
      </c>
      <c r="L3">
        <v>1</v>
      </c>
      <c r="M3" s="100" t="s">
        <v>41</v>
      </c>
      <c r="N3" s="29">
        <f>B3-B2</f>
        <v>6468.359999999995</v>
      </c>
      <c r="O3" s="29"/>
      <c r="P3" s="134">
        <v>42023</v>
      </c>
      <c r="Q3" s="101"/>
      <c r="R3" s="61"/>
      <c r="S3" s="61"/>
      <c r="T3" s="70"/>
    </row>
    <row r="4" spans="1:20" ht="15">
      <c r="A4" s="33">
        <v>42020</v>
      </c>
      <c r="B4" s="29">
        <f>'Portfolio  Worksheet'!I50</f>
        <v>818.9099999999999</v>
      </c>
      <c r="C4" s="34">
        <f>'Portfolio  Worksheet'!J50</f>
        <v>0.008189099999999998</v>
      </c>
      <c r="D4" s="156">
        <f>'Portfolio  Worksheet'!L50</f>
        <v>0.8701935976098134</v>
      </c>
      <c r="E4" s="156">
        <f t="shared" si="0"/>
        <v>0.8701935976098134</v>
      </c>
      <c r="F4" s="113">
        <v>7</v>
      </c>
      <c r="G4" s="113">
        <f>H4-G3</f>
        <v>4</v>
      </c>
      <c r="H4" s="113">
        <v>23</v>
      </c>
      <c r="I4" s="39">
        <f aca="true" t="shared" si="1" ref="I4:I45">H4/L4</f>
        <v>11.5</v>
      </c>
      <c r="J4" s="40">
        <f aca="true" t="shared" si="2" ref="J4:J45">H4/K4</f>
        <v>2.3</v>
      </c>
      <c r="K4">
        <v>10</v>
      </c>
      <c r="L4">
        <v>2</v>
      </c>
      <c r="M4" s="55" t="s">
        <v>42</v>
      </c>
      <c r="N4" s="137">
        <f aca="true" t="shared" si="3" ref="N4:N14">B4-B3</f>
        <v>-5649.449999999995</v>
      </c>
      <c r="P4" s="134">
        <v>42051</v>
      </c>
      <c r="Q4" s="101"/>
      <c r="R4" s="61"/>
      <c r="S4" s="61"/>
      <c r="T4" s="70"/>
    </row>
    <row r="5" spans="1:20" ht="15">
      <c r="A5" s="33">
        <v>42027</v>
      </c>
      <c r="B5" s="29">
        <f>'Portfolio  Worksheet'!I78</f>
        <v>4923.610000000007</v>
      </c>
      <c r="C5" s="34">
        <f>'Portfolio  Worksheet'!J78</f>
        <v>0.04923610000000007</v>
      </c>
      <c r="D5" s="156">
        <f>'Portfolio  Worksheet'!L78</f>
        <v>0.9333692388205095</v>
      </c>
      <c r="E5" s="156">
        <f t="shared" si="0"/>
        <v>0.9333692388205095</v>
      </c>
      <c r="F5" s="113">
        <v>7</v>
      </c>
      <c r="G5" s="113">
        <v>1</v>
      </c>
      <c r="H5" s="113">
        <v>26</v>
      </c>
      <c r="I5" s="39">
        <f t="shared" si="1"/>
        <v>8.666666666666666</v>
      </c>
      <c r="J5" s="40">
        <f t="shared" si="2"/>
        <v>1.8571428571428572</v>
      </c>
      <c r="K5">
        <v>14</v>
      </c>
      <c r="L5">
        <v>3</v>
      </c>
      <c r="M5" s="100" t="s">
        <v>41</v>
      </c>
      <c r="N5" s="29">
        <f t="shared" si="3"/>
        <v>4104.700000000007</v>
      </c>
      <c r="P5" s="134">
        <v>42097</v>
      </c>
      <c r="Q5" s="101"/>
      <c r="R5" s="61"/>
      <c r="S5" s="61"/>
      <c r="T5" s="70"/>
    </row>
    <row r="6" spans="1:20" ht="15">
      <c r="A6" s="33">
        <v>42034</v>
      </c>
      <c r="B6" s="29">
        <f>'Portfolio  Worksheet'!I106</f>
        <v>7731.410000000002</v>
      </c>
      <c r="C6" s="34">
        <f>'Portfolio  Worksheet'!J106</f>
        <v>0.07731410000000001</v>
      </c>
      <c r="D6" s="156">
        <f>'Portfolio  Worksheet'!L106</f>
        <v>0.9090428687418088</v>
      </c>
      <c r="E6" s="156">
        <f t="shared" si="0"/>
        <v>0.9090428687418088</v>
      </c>
      <c r="F6" s="113">
        <v>7</v>
      </c>
      <c r="G6" s="113">
        <f aca="true" t="shared" si="4" ref="G6:G45">H6-H5</f>
        <v>0</v>
      </c>
      <c r="H6" s="113">
        <v>26</v>
      </c>
      <c r="I6" s="39">
        <f t="shared" si="1"/>
        <v>6.5</v>
      </c>
      <c r="J6" s="40">
        <f t="shared" si="2"/>
        <v>1.368421052631579</v>
      </c>
      <c r="K6">
        <f aca="true" t="shared" si="5" ref="K6:K7">K5+5</f>
        <v>19</v>
      </c>
      <c r="L6">
        <v>4</v>
      </c>
      <c r="M6" s="55" t="s">
        <v>42</v>
      </c>
      <c r="N6" s="29">
        <f t="shared" si="3"/>
        <v>2807.7999999999947</v>
      </c>
      <c r="P6" s="134">
        <v>42149</v>
      </c>
      <c r="Q6" s="101"/>
      <c r="R6" s="61"/>
      <c r="S6" s="61"/>
      <c r="T6" s="70"/>
    </row>
    <row r="7" spans="1:20" ht="15">
      <c r="A7" s="33">
        <v>42041</v>
      </c>
      <c r="B7" s="29">
        <f>'Portfolio  Worksheet'!I134</f>
        <v>10534.21</v>
      </c>
      <c r="C7" s="34">
        <f>'Portfolio  Worksheet'!J134</f>
        <v>0.1053421</v>
      </c>
      <c r="D7" s="156">
        <f>'Portfolio  Worksheet'!L134</f>
        <v>0.8507990422150753</v>
      </c>
      <c r="E7" s="156">
        <f t="shared" si="0"/>
        <v>0.8507990422150753</v>
      </c>
      <c r="F7" s="113">
        <v>7</v>
      </c>
      <c r="G7" s="113">
        <f t="shared" si="4"/>
        <v>3</v>
      </c>
      <c r="H7" s="113">
        <v>29</v>
      </c>
      <c r="I7" s="39">
        <f t="shared" si="1"/>
        <v>5.8</v>
      </c>
      <c r="J7" s="40">
        <f t="shared" si="2"/>
        <v>1.2083333333333333</v>
      </c>
      <c r="K7">
        <f t="shared" si="5"/>
        <v>24</v>
      </c>
      <c r="L7">
        <v>5</v>
      </c>
      <c r="M7" s="55" t="s">
        <v>42</v>
      </c>
      <c r="N7" s="29">
        <f t="shared" si="3"/>
        <v>2802.7999999999975</v>
      </c>
      <c r="O7" s="29">
        <f>AVERAGE(N3:N7)</f>
        <v>2106.8419999999996</v>
      </c>
      <c r="P7" s="134">
        <v>42188</v>
      </c>
      <c r="Q7" s="101"/>
      <c r="R7" s="61"/>
      <c r="S7" s="61"/>
      <c r="T7" s="70"/>
    </row>
    <row r="8" spans="1:20" s="113" customFormat="1" ht="15">
      <c r="A8" s="115">
        <v>42048</v>
      </c>
      <c r="B8" s="76">
        <f>'Portfolio  Worksheet'!I166</f>
        <v>15330.759999999995</v>
      </c>
      <c r="C8" s="73">
        <f>'Portfolio  Worksheet'!J166</f>
        <v>0.15330759999999996</v>
      </c>
      <c r="D8" s="156">
        <f>'Portfolio  Worksheet'!L166</f>
        <v>0.9707733218787425</v>
      </c>
      <c r="E8" s="156">
        <f t="shared" si="0"/>
        <v>0.9707733218787425</v>
      </c>
      <c r="F8" s="113">
        <v>8</v>
      </c>
      <c r="G8" s="113">
        <f t="shared" si="4"/>
        <v>5</v>
      </c>
      <c r="H8" s="113">
        <v>34</v>
      </c>
      <c r="I8" s="77">
        <f t="shared" si="1"/>
        <v>5.666666666666667</v>
      </c>
      <c r="J8" s="40">
        <f t="shared" si="2"/>
        <v>1.1724137931034482</v>
      </c>
      <c r="K8" s="113">
        <v>29</v>
      </c>
      <c r="L8" s="113">
        <v>6</v>
      </c>
      <c r="M8" s="100" t="s">
        <v>41</v>
      </c>
      <c r="N8" s="29">
        <f>B8-B7</f>
        <v>4796.549999999996</v>
      </c>
      <c r="O8" s="29">
        <f>AVERAGE(N3:N8)</f>
        <v>2555.1266666666656</v>
      </c>
      <c r="P8" s="134">
        <v>42254</v>
      </c>
      <c r="R8" s="98"/>
      <c r="S8" s="98"/>
      <c r="T8" s="84"/>
    </row>
    <row r="9" spans="1:20" s="113" customFormat="1" ht="15">
      <c r="A9" s="84">
        <v>42055</v>
      </c>
      <c r="B9" s="76">
        <f>'Portfolio  Worksheet'!I200</f>
        <v>20500.059999999998</v>
      </c>
      <c r="C9" s="73">
        <f>'Portfolio  Worksheet'!J200</f>
        <v>0.20500059999999998</v>
      </c>
      <c r="D9" s="156">
        <f>'Portfolio  Worksheet'!L200</f>
        <v>0.9794055289267075</v>
      </c>
      <c r="E9" s="156">
        <f t="shared" si="0"/>
        <v>0.9794055289267075</v>
      </c>
      <c r="F9" s="113">
        <v>8</v>
      </c>
      <c r="G9" s="113">
        <f t="shared" si="4"/>
        <v>2</v>
      </c>
      <c r="H9" s="113">
        <v>36</v>
      </c>
      <c r="I9" s="77">
        <f t="shared" si="1"/>
        <v>5.142857142857143</v>
      </c>
      <c r="J9" s="40">
        <f t="shared" si="2"/>
        <v>1.0909090909090908</v>
      </c>
      <c r="K9" s="113">
        <v>33</v>
      </c>
      <c r="L9" s="113">
        <v>7</v>
      </c>
      <c r="M9" s="100" t="s">
        <v>41</v>
      </c>
      <c r="N9" s="29">
        <f t="shared" si="3"/>
        <v>5169.300000000003</v>
      </c>
      <c r="O9" s="29">
        <f>AVERAGE(N3:N9)</f>
        <v>2928.5799999999995</v>
      </c>
      <c r="P9" s="134">
        <v>42334</v>
      </c>
      <c r="R9" s="98"/>
      <c r="S9" s="98"/>
      <c r="T9" s="84"/>
    </row>
    <row r="10" spans="1:20" s="113" customFormat="1" ht="15">
      <c r="A10" s="84">
        <v>42062</v>
      </c>
      <c r="B10" s="76">
        <f>'Portfolio  Worksheet'!I239</f>
        <v>35460.01000000001</v>
      </c>
      <c r="C10" s="73">
        <f>'Portfolio  Worksheet'!J239</f>
        <v>0.3546001000000001</v>
      </c>
      <c r="D10" s="156">
        <f>'Portfolio  Worksheet'!L239</f>
        <v>0.9949148460863098</v>
      </c>
      <c r="E10" s="156">
        <f t="shared" si="0"/>
        <v>0.9949148460863098</v>
      </c>
      <c r="F10" s="113">
        <v>9</v>
      </c>
      <c r="G10" s="113">
        <f t="shared" si="4"/>
        <v>4</v>
      </c>
      <c r="H10" s="113">
        <v>40</v>
      </c>
      <c r="I10" s="77">
        <f t="shared" si="1"/>
        <v>5</v>
      </c>
      <c r="J10" s="40">
        <f t="shared" si="2"/>
        <v>1.0526315789473684</v>
      </c>
      <c r="K10" s="113">
        <v>38</v>
      </c>
      <c r="L10" s="113">
        <v>8</v>
      </c>
      <c r="M10" s="100" t="s">
        <v>41</v>
      </c>
      <c r="N10" s="29">
        <f t="shared" si="3"/>
        <v>14959.950000000012</v>
      </c>
      <c r="O10" s="29">
        <f>AVERAGE(N3:N10)</f>
        <v>4432.501250000001</v>
      </c>
      <c r="P10" s="134">
        <v>42363</v>
      </c>
      <c r="R10" s="98"/>
      <c r="S10" s="98"/>
      <c r="T10" s="84"/>
    </row>
    <row r="11" spans="1:20" s="113" customFormat="1" ht="15">
      <c r="A11" s="84">
        <v>42069</v>
      </c>
      <c r="B11" s="76">
        <f>'Portfolio  Worksheet'!I279</f>
        <v>37196.61000000001</v>
      </c>
      <c r="C11" s="73">
        <f>'Portfolio  Worksheet'!J279</f>
        <v>0.3719661000000001</v>
      </c>
      <c r="D11" s="99">
        <f>'Portfolio  Worksheet'!L279</f>
        <v>1.0066096020885644</v>
      </c>
      <c r="E11" s="156">
        <f t="shared" si="0"/>
        <v>1.0066096020885644</v>
      </c>
      <c r="F11" s="113">
        <v>9</v>
      </c>
      <c r="G11" s="113">
        <f t="shared" si="4"/>
        <v>1</v>
      </c>
      <c r="H11" s="113">
        <v>41</v>
      </c>
      <c r="I11" s="77">
        <f t="shared" si="1"/>
        <v>4.555555555555555</v>
      </c>
      <c r="J11" s="40">
        <f t="shared" si="2"/>
        <v>0.9534883720930233</v>
      </c>
      <c r="K11" s="113">
        <v>43</v>
      </c>
      <c r="L11" s="113">
        <v>9</v>
      </c>
      <c r="M11" s="100" t="s">
        <v>41</v>
      </c>
      <c r="N11" s="29">
        <f t="shared" si="3"/>
        <v>1736.5999999999985</v>
      </c>
      <c r="O11" s="29">
        <f>AVERAGE(N4:N11)</f>
        <v>3841.031250000002</v>
      </c>
      <c r="R11" s="98"/>
      <c r="S11" s="98"/>
      <c r="T11" s="84"/>
    </row>
    <row r="12" spans="1:20" s="113" customFormat="1" ht="15">
      <c r="A12" s="84">
        <v>42076</v>
      </c>
      <c r="B12" s="76">
        <f>'Portfolio  Worksheet'!I316</f>
        <v>41028.71</v>
      </c>
      <c r="C12" s="73">
        <f>'Portfolio  Worksheet'!J316</f>
        <v>0.4102871</v>
      </c>
      <c r="D12" s="156">
        <f>'Portfolio  Worksheet'!L316</f>
        <v>0.9377812149029796</v>
      </c>
      <c r="E12" s="156">
        <f t="shared" si="0"/>
        <v>0.9377812149029796</v>
      </c>
      <c r="F12" s="113">
        <v>8</v>
      </c>
      <c r="G12" s="113">
        <f t="shared" si="4"/>
        <v>6</v>
      </c>
      <c r="H12" s="113">
        <v>47</v>
      </c>
      <c r="I12" s="77">
        <f t="shared" si="1"/>
        <v>4.7</v>
      </c>
      <c r="J12" s="60">
        <f t="shared" si="2"/>
        <v>0.9791666666666666</v>
      </c>
      <c r="K12" s="113">
        <v>48</v>
      </c>
      <c r="L12" s="113">
        <v>10</v>
      </c>
      <c r="M12" s="55" t="s">
        <v>42</v>
      </c>
      <c r="N12" s="29">
        <f t="shared" si="3"/>
        <v>3832.0999999999913</v>
      </c>
      <c r="O12" s="29">
        <f>AVERAGE(N5:N12)</f>
        <v>5026.224999999999</v>
      </c>
      <c r="R12" s="98"/>
      <c r="S12" s="98"/>
      <c r="T12" s="84"/>
    </row>
    <row r="13" spans="1:20" s="113" customFormat="1" ht="15">
      <c r="A13" s="84">
        <v>42083</v>
      </c>
      <c r="B13" s="76">
        <f>'Portfolio  Worksheet'!I354</f>
        <v>54922.31</v>
      </c>
      <c r="C13" s="73">
        <f>'Portfolio  Worksheet'!J354</f>
        <v>0.5492231</v>
      </c>
      <c r="D13" s="156">
        <f>'Portfolio  Worksheet'!L354</f>
        <v>0.9969298482574911</v>
      </c>
      <c r="E13" s="156">
        <f t="shared" si="0"/>
        <v>0.9969298482574911</v>
      </c>
      <c r="F13" s="113">
        <v>8</v>
      </c>
      <c r="G13" s="113">
        <f t="shared" si="4"/>
        <v>5</v>
      </c>
      <c r="H13" s="113">
        <v>52</v>
      </c>
      <c r="I13" s="77">
        <f t="shared" si="1"/>
        <v>4.7272727272727275</v>
      </c>
      <c r="J13" s="60">
        <f t="shared" si="2"/>
        <v>0.9811320754716981</v>
      </c>
      <c r="K13" s="113">
        <v>53</v>
      </c>
      <c r="L13" s="113">
        <v>11</v>
      </c>
      <c r="M13" s="55" t="s">
        <v>42</v>
      </c>
      <c r="N13" s="29">
        <f t="shared" si="3"/>
        <v>13893.599999999999</v>
      </c>
      <c r="O13" s="29">
        <f>AVERAGE(N6:N13)</f>
        <v>6249.837499999999</v>
      </c>
      <c r="P13" s="114"/>
      <c r="R13" s="98"/>
      <c r="S13" s="98"/>
      <c r="T13" s="84"/>
    </row>
    <row r="14" spans="1:20" s="113" customFormat="1" ht="15">
      <c r="A14" s="84">
        <v>42090</v>
      </c>
      <c r="B14" s="76">
        <f>'Portfolio  Worksheet'!I389</f>
        <v>54993.16</v>
      </c>
      <c r="C14" s="73">
        <f>'Portfolio  Worksheet'!J389</f>
        <v>0.5499316000000001</v>
      </c>
      <c r="D14" s="156">
        <f>'Portfolio  Worksheet'!L389</f>
        <v>0.9234660742448246</v>
      </c>
      <c r="E14" s="156">
        <f t="shared" si="0"/>
        <v>0.9234660742448246</v>
      </c>
      <c r="F14" s="113">
        <v>8</v>
      </c>
      <c r="G14" s="113">
        <f t="shared" si="4"/>
        <v>4</v>
      </c>
      <c r="H14" s="113">
        <v>56</v>
      </c>
      <c r="I14" s="77">
        <f t="shared" si="1"/>
        <v>4.666666666666667</v>
      </c>
      <c r="J14" s="60">
        <f t="shared" si="2"/>
        <v>0.9655172413793104</v>
      </c>
      <c r="K14" s="113">
        <v>58</v>
      </c>
      <c r="L14" s="113">
        <v>12</v>
      </c>
      <c r="M14" s="55" t="s">
        <v>42</v>
      </c>
      <c r="N14" s="29">
        <f t="shared" si="3"/>
        <v>70.85000000000582</v>
      </c>
      <c r="O14" s="29">
        <f>AVERAGE(N7:N14)</f>
        <v>5907.71875</v>
      </c>
      <c r="P14" s="101"/>
      <c r="R14" s="98"/>
      <c r="S14" s="98"/>
      <c r="T14" s="84"/>
    </row>
    <row r="15" spans="1:20" s="113" customFormat="1" ht="15">
      <c r="A15" s="84">
        <v>42097</v>
      </c>
      <c r="B15" s="76">
        <f>'Portfolio  Worksheet'!I427</f>
        <v>58167.16</v>
      </c>
      <c r="C15" s="73">
        <f>'Portfolio  Worksheet'!J427</f>
        <v>0.5816716000000001</v>
      </c>
      <c r="D15" s="156">
        <f>'Portfolio  Worksheet'!L427</f>
        <v>0.987577636217278</v>
      </c>
      <c r="E15" s="156">
        <f t="shared" si="0"/>
        <v>0.987577636217278</v>
      </c>
      <c r="F15" s="113">
        <v>8</v>
      </c>
      <c r="G15" s="113">
        <f t="shared" si="4"/>
        <v>3</v>
      </c>
      <c r="H15" s="113">
        <v>59</v>
      </c>
      <c r="I15" s="77">
        <f t="shared" si="1"/>
        <v>4.538461538461538</v>
      </c>
      <c r="J15" s="60">
        <f t="shared" si="2"/>
        <v>0.9516129032258065</v>
      </c>
      <c r="K15" s="113">
        <v>62</v>
      </c>
      <c r="L15" s="113">
        <v>13</v>
      </c>
      <c r="M15" s="55" t="s">
        <v>42</v>
      </c>
      <c r="N15" s="29">
        <f aca="true" t="shared" si="6" ref="N15:N18">B15-B14</f>
        <v>3174</v>
      </c>
      <c r="O15" s="29">
        <f aca="true" t="shared" si="7" ref="O15:O21">AVERAGE(N8:N15)</f>
        <v>5954.118750000001</v>
      </c>
      <c r="P15" s="114"/>
      <c r="R15" s="98"/>
      <c r="S15" s="98"/>
      <c r="T15" s="84"/>
    </row>
    <row r="16" spans="1:20" s="113" customFormat="1" ht="15">
      <c r="A16" s="84">
        <v>42104</v>
      </c>
      <c r="B16" s="76">
        <f>'Portfolio  Worksheet'!I467</f>
        <v>79711.06</v>
      </c>
      <c r="C16" s="73">
        <f>'Portfolio  Worksheet'!J467</f>
        <v>0.7971106</v>
      </c>
      <c r="D16" s="156">
        <f>'Portfolio  Worksheet'!L467</f>
        <v>0.930681311434032</v>
      </c>
      <c r="E16" s="156">
        <f t="shared" si="0"/>
        <v>0.930681311434032</v>
      </c>
      <c r="F16" s="113">
        <v>8</v>
      </c>
      <c r="G16" s="113">
        <f t="shared" si="4"/>
        <v>2</v>
      </c>
      <c r="H16" s="113">
        <v>61</v>
      </c>
      <c r="I16" s="77">
        <f t="shared" si="1"/>
        <v>4.357142857142857</v>
      </c>
      <c r="J16" s="60">
        <f t="shared" si="2"/>
        <v>0.9104477611940298</v>
      </c>
      <c r="K16" s="113">
        <v>67</v>
      </c>
      <c r="L16" s="113">
        <v>14</v>
      </c>
      <c r="M16" s="55" t="s">
        <v>42</v>
      </c>
      <c r="N16" s="29">
        <f t="shared" si="6"/>
        <v>21543.899999999994</v>
      </c>
      <c r="O16" s="29">
        <f t="shared" si="7"/>
        <v>8047.5375</v>
      </c>
      <c r="P16" s="114"/>
      <c r="R16" s="98"/>
      <c r="S16" s="98"/>
      <c r="T16" s="84"/>
    </row>
    <row r="17" spans="1:20" s="113" customFormat="1" ht="15">
      <c r="A17" s="84">
        <v>42111</v>
      </c>
      <c r="B17" s="76">
        <f>'Portfolio  Worksheet'!I509</f>
        <v>76920.61</v>
      </c>
      <c r="C17" s="73">
        <f>'Portfolio  Worksheet'!J509</f>
        <v>0.7692061</v>
      </c>
      <c r="D17" s="99">
        <f>'Portfolio  Worksheet'!L509</f>
        <v>1.0224341584623748</v>
      </c>
      <c r="E17" s="156">
        <f t="shared" si="0"/>
        <v>1.0224341584623748</v>
      </c>
      <c r="F17" s="113">
        <v>8</v>
      </c>
      <c r="G17" s="113">
        <f t="shared" si="4"/>
        <v>2</v>
      </c>
      <c r="H17" s="113">
        <v>63</v>
      </c>
      <c r="I17" s="77">
        <f t="shared" si="1"/>
        <v>4.2</v>
      </c>
      <c r="J17" s="60">
        <f t="shared" si="2"/>
        <v>0.875</v>
      </c>
      <c r="K17" s="113">
        <v>72</v>
      </c>
      <c r="L17" s="113">
        <v>15</v>
      </c>
      <c r="M17" s="55" t="s">
        <v>42</v>
      </c>
      <c r="N17" s="137">
        <f t="shared" si="6"/>
        <v>-2790.449999999997</v>
      </c>
      <c r="O17" s="29">
        <f t="shared" si="7"/>
        <v>7052.56875</v>
      </c>
      <c r="P17" s="114"/>
      <c r="R17" s="98"/>
      <c r="S17" s="98"/>
      <c r="T17" s="84"/>
    </row>
    <row r="18" spans="1:20" s="114" customFormat="1" ht="15">
      <c r="A18" s="84">
        <v>42118</v>
      </c>
      <c r="B18" s="29">
        <f>'Portfolio  Worksheet'!I553</f>
        <v>118421.10999999999</v>
      </c>
      <c r="C18" s="34">
        <f>'Portfolio  Worksheet'!J553</f>
        <v>1.1842111</v>
      </c>
      <c r="D18" s="156">
        <f>'Portfolio  Worksheet'!L553</f>
        <v>0.9541450686703316</v>
      </c>
      <c r="E18" s="156">
        <f t="shared" si="0"/>
        <v>0.9541450686703316</v>
      </c>
      <c r="F18" s="113">
        <v>8</v>
      </c>
      <c r="G18" s="113">
        <f t="shared" si="4"/>
        <v>7</v>
      </c>
      <c r="H18" s="113">
        <v>70</v>
      </c>
      <c r="I18" s="39">
        <f t="shared" si="1"/>
        <v>4.375</v>
      </c>
      <c r="J18" s="40">
        <f t="shared" si="2"/>
        <v>0.9090909090909091</v>
      </c>
      <c r="K18" s="113">
        <v>77</v>
      </c>
      <c r="L18" s="113">
        <v>16</v>
      </c>
      <c r="M18" s="100" t="s">
        <v>41</v>
      </c>
      <c r="N18" s="29">
        <f t="shared" si="6"/>
        <v>41500.499999999985</v>
      </c>
      <c r="O18" s="29">
        <f t="shared" si="7"/>
        <v>10370.137499999997</v>
      </c>
      <c r="P18" s="112"/>
      <c r="R18" s="61"/>
      <c r="S18" s="61"/>
      <c r="T18" s="115"/>
    </row>
    <row r="19" spans="1:20" s="114" customFormat="1" ht="15">
      <c r="A19" s="84">
        <v>42125</v>
      </c>
      <c r="B19" s="29">
        <f>'Portfolio  Worksheet'!I597</f>
        <v>121954.60999999999</v>
      </c>
      <c r="C19" s="34">
        <f>'Portfolio  Worksheet'!J597</f>
        <v>1.2195460999999999</v>
      </c>
      <c r="D19" s="156">
        <f>'Portfolio  Worksheet'!L597</f>
        <v>0.9389551539389068</v>
      </c>
      <c r="E19" s="156">
        <f t="shared" si="0"/>
        <v>0.9389551539389068</v>
      </c>
      <c r="F19" s="113">
        <v>8</v>
      </c>
      <c r="G19" s="113">
        <f t="shared" si="4"/>
        <v>0</v>
      </c>
      <c r="H19" s="113">
        <v>70</v>
      </c>
      <c r="I19" s="39">
        <f t="shared" si="1"/>
        <v>4.117647058823529</v>
      </c>
      <c r="J19" s="40">
        <f t="shared" si="2"/>
        <v>0.8536585365853658</v>
      </c>
      <c r="K19" s="113">
        <v>82</v>
      </c>
      <c r="L19" s="113">
        <v>17</v>
      </c>
      <c r="M19" s="55" t="s">
        <v>42</v>
      </c>
      <c r="N19" s="29">
        <f aca="true" t="shared" si="8" ref="N19:N21">B19-B18</f>
        <v>3533.5</v>
      </c>
      <c r="O19" s="29">
        <f t="shared" si="7"/>
        <v>10594.749999999996</v>
      </c>
      <c r="R19" s="61"/>
      <c r="S19" s="61"/>
      <c r="T19" s="115"/>
    </row>
    <row r="20" spans="1:20" s="114" customFormat="1" ht="15">
      <c r="A20" s="84">
        <v>42132</v>
      </c>
      <c r="B20" s="29">
        <f>'Portfolio  Worksheet'!I642</f>
        <v>128851.90999999997</v>
      </c>
      <c r="C20" s="34">
        <f>'Portfolio  Worksheet'!J642</f>
        <v>1.2885190999999998</v>
      </c>
      <c r="D20" s="156">
        <f>'Portfolio  Worksheet'!L642</f>
        <v>0.9472895594360563</v>
      </c>
      <c r="E20" s="156">
        <f t="shared" si="0"/>
        <v>0.9472895594360563</v>
      </c>
      <c r="F20" s="113">
        <v>8</v>
      </c>
      <c r="G20" s="113">
        <f t="shared" si="4"/>
        <v>1</v>
      </c>
      <c r="H20" s="113">
        <v>71</v>
      </c>
      <c r="I20" s="39">
        <f t="shared" si="1"/>
        <v>3.9444444444444446</v>
      </c>
      <c r="J20" s="40">
        <f t="shared" si="2"/>
        <v>0.8160919540229885</v>
      </c>
      <c r="K20" s="113">
        <v>87</v>
      </c>
      <c r="L20" s="113">
        <v>18</v>
      </c>
      <c r="M20" s="139" t="s">
        <v>30</v>
      </c>
      <c r="N20" s="29">
        <f t="shared" si="8"/>
        <v>6897.299999999988</v>
      </c>
      <c r="O20" s="29">
        <f t="shared" si="7"/>
        <v>10977.899999999998</v>
      </c>
      <c r="R20" s="61"/>
      <c r="S20" s="61"/>
      <c r="T20" s="115"/>
    </row>
    <row r="21" spans="1:20" s="114" customFormat="1" ht="15">
      <c r="A21" s="84">
        <v>42139</v>
      </c>
      <c r="B21" s="29">
        <f>'Portfolio  Worksheet'!I689</f>
        <v>151223.06</v>
      </c>
      <c r="C21" s="34">
        <f>'Portfolio  Worksheet'!J689</f>
        <v>1.5122305999999999</v>
      </c>
      <c r="D21" s="156">
        <f>'Portfolio  Worksheet'!L689</f>
        <v>0.9173185574604497</v>
      </c>
      <c r="E21" s="156">
        <f t="shared" si="0"/>
        <v>0.9173185574604497</v>
      </c>
      <c r="F21" s="113">
        <v>8</v>
      </c>
      <c r="G21" s="113">
        <f t="shared" si="4"/>
        <v>2</v>
      </c>
      <c r="H21" s="113">
        <v>73</v>
      </c>
      <c r="I21" s="39">
        <f t="shared" si="1"/>
        <v>3.8421052631578947</v>
      </c>
      <c r="J21" s="40">
        <f t="shared" si="2"/>
        <v>0.7934782608695652</v>
      </c>
      <c r="K21" s="113">
        <v>92</v>
      </c>
      <c r="L21" s="113">
        <v>19</v>
      </c>
      <c r="M21" s="100" t="s">
        <v>41</v>
      </c>
      <c r="N21" s="29">
        <f t="shared" si="8"/>
        <v>22371.150000000023</v>
      </c>
      <c r="O21" s="29">
        <f t="shared" si="7"/>
        <v>12037.59375</v>
      </c>
      <c r="R21" s="61"/>
      <c r="S21" s="61"/>
      <c r="T21" s="115"/>
    </row>
    <row r="22" spans="1:20" s="114" customFormat="1" ht="15">
      <c r="A22" s="84">
        <v>42146</v>
      </c>
      <c r="B22" s="29">
        <f>'Portfolio  Worksheet'!I737</f>
        <v>151969.31</v>
      </c>
      <c r="C22" s="34">
        <f>'Portfolio  Worksheet'!J737</f>
        <v>1.5196931</v>
      </c>
      <c r="D22" s="156">
        <f>'Portfolio  Worksheet'!L737</f>
        <v>0.9287324515830916</v>
      </c>
      <c r="E22" s="156">
        <f t="shared" si="0"/>
        <v>0.9287324515830916</v>
      </c>
      <c r="F22" s="113">
        <v>8</v>
      </c>
      <c r="G22" s="113">
        <f t="shared" si="4"/>
        <v>1</v>
      </c>
      <c r="H22" s="113">
        <v>74</v>
      </c>
      <c r="I22" s="39">
        <f t="shared" si="1"/>
        <v>3.7</v>
      </c>
      <c r="J22" s="40">
        <f t="shared" si="2"/>
        <v>0.7628865979381443</v>
      </c>
      <c r="K22" s="113">
        <v>97</v>
      </c>
      <c r="L22" s="113">
        <v>20</v>
      </c>
      <c r="M22" s="100" t="s">
        <v>41</v>
      </c>
      <c r="N22" s="29">
        <f aca="true" t="shared" si="9" ref="N22">B22-B21</f>
        <v>746.25</v>
      </c>
      <c r="O22" s="29">
        <f aca="true" t="shared" si="10" ref="O22">AVERAGE(N15:N22)</f>
        <v>12122.01875</v>
      </c>
      <c r="R22" s="61"/>
      <c r="S22" s="61"/>
      <c r="T22" s="115"/>
    </row>
    <row r="23" spans="1:20" s="114" customFormat="1" ht="15">
      <c r="A23" s="84">
        <v>42153</v>
      </c>
      <c r="B23" s="144">
        <f>'Portfolio  Worksheet'!I786</f>
        <v>148797.96</v>
      </c>
      <c r="C23" s="34">
        <f>'Portfolio  Worksheet'!J786</f>
        <v>1.4879795999999998</v>
      </c>
      <c r="D23" s="156">
        <f>'Portfolio  Worksheet'!L786</f>
        <v>0.9591621048661331</v>
      </c>
      <c r="E23" s="156">
        <f t="shared" si="0"/>
        <v>0.9591621048661331</v>
      </c>
      <c r="F23" s="113">
        <v>8</v>
      </c>
      <c r="G23" s="113">
        <f t="shared" si="4"/>
        <v>1</v>
      </c>
      <c r="H23" s="113">
        <v>75</v>
      </c>
      <c r="I23" s="39">
        <f t="shared" si="1"/>
        <v>3.5714285714285716</v>
      </c>
      <c r="J23" s="40">
        <f t="shared" si="2"/>
        <v>0.7425742574257426</v>
      </c>
      <c r="K23" s="113">
        <v>101</v>
      </c>
      <c r="L23" s="113">
        <v>21</v>
      </c>
      <c r="M23" s="100" t="s">
        <v>41</v>
      </c>
      <c r="N23" s="145">
        <f aca="true" t="shared" si="11" ref="N23">B23-B22</f>
        <v>-3171.350000000006</v>
      </c>
      <c r="O23" s="29">
        <f aca="true" t="shared" si="12" ref="O23">AVERAGE(N16:N23)</f>
        <v>11328.849999999999</v>
      </c>
      <c r="R23" s="61"/>
      <c r="S23" s="61"/>
      <c r="T23" s="115"/>
    </row>
    <row r="24" spans="1:20" s="114" customFormat="1" ht="15">
      <c r="A24" s="84">
        <v>42160</v>
      </c>
      <c r="B24" s="29">
        <f>'Portfolio  Worksheet'!I831</f>
        <v>192764.46000000002</v>
      </c>
      <c r="C24" s="34">
        <f>'Portfolio  Worksheet'!J831</f>
        <v>1.9276446000000003</v>
      </c>
      <c r="D24" s="156">
        <f>'Portfolio  Worksheet'!L831</f>
        <v>0.857676423565893</v>
      </c>
      <c r="E24" s="156">
        <f t="shared" si="0"/>
        <v>0.857676423565893</v>
      </c>
      <c r="F24" s="113">
        <v>8</v>
      </c>
      <c r="G24" s="113">
        <f t="shared" si="4"/>
        <v>4</v>
      </c>
      <c r="H24" s="113">
        <v>79</v>
      </c>
      <c r="I24" s="39">
        <f t="shared" si="1"/>
        <v>3.590909090909091</v>
      </c>
      <c r="J24" s="40">
        <f t="shared" si="2"/>
        <v>0.7452830188679245</v>
      </c>
      <c r="K24" s="113">
        <v>106</v>
      </c>
      <c r="L24" s="113">
        <v>22</v>
      </c>
      <c r="M24" s="100" t="s">
        <v>41</v>
      </c>
      <c r="N24" s="146">
        <f aca="true" t="shared" si="13" ref="N24">B24-B23</f>
        <v>43966.50000000003</v>
      </c>
      <c r="O24" s="29">
        <f aca="true" t="shared" si="14" ref="O24">AVERAGE(N17:N24)</f>
        <v>14131.675000000003</v>
      </c>
      <c r="R24" s="61"/>
      <c r="S24" s="61"/>
      <c r="T24" s="115"/>
    </row>
    <row r="25" spans="1:20" s="114" customFormat="1" ht="15">
      <c r="A25" s="84">
        <v>42167</v>
      </c>
      <c r="B25" s="29">
        <f>'Portfolio  Worksheet'!I876</f>
        <v>226518.36</v>
      </c>
      <c r="C25" s="34">
        <f>'Portfolio  Worksheet'!J876</f>
        <v>2.2651836</v>
      </c>
      <c r="D25" s="156">
        <f>'Portfolio  Worksheet'!L876</f>
        <v>0.955708738706148</v>
      </c>
      <c r="E25" s="156">
        <f t="shared" si="0"/>
        <v>0.955708738706148</v>
      </c>
      <c r="F25" s="113">
        <v>8</v>
      </c>
      <c r="G25" s="113">
        <f t="shared" si="4"/>
        <v>5</v>
      </c>
      <c r="H25" s="113">
        <v>84</v>
      </c>
      <c r="I25" s="39">
        <f t="shared" si="1"/>
        <v>3.652173913043478</v>
      </c>
      <c r="J25" s="40">
        <f t="shared" si="2"/>
        <v>0.7567567567567568</v>
      </c>
      <c r="K25" s="113">
        <v>111</v>
      </c>
      <c r="L25" s="113">
        <v>23</v>
      </c>
      <c r="M25" s="100" t="s">
        <v>41</v>
      </c>
      <c r="N25" s="146">
        <f aca="true" t="shared" si="15" ref="N25:N27">B25-B24</f>
        <v>33753.899999999965</v>
      </c>
      <c r="O25" s="29">
        <f aca="true" t="shared" si="16" ref="O25:O27">AVERAGE(N18:N25)</f>
        <v>18699.71875</v>
      </c>
      <c r="R25" s="61"/>
      <c r="S25" s="61"/>
      <c r="T25" s="115"/>
    </row>
    <row r="26" spans="1:20" s="114" customFormat="1" ht="15">
      <c r="A26" s="84">
        <v>42174</v>
      </c>
      <c r="B26" s="29">
        <f>'Portfolio  Worksheet'!I917</f>
        <v>242951.61</v>
      </c>
      <c r="C26" s="34">
        <f>'Portfolio  Worksheet'!J917</f>
        <v>2.4295161</v>
      </c>
      <c r="D26" s="156">
        <f>'Portfolio  Worksheet'!L917</f>
        <v>0.919111372592769</v>
      </c>
      <c r="E26" s="156">
        <f t="shared" si="0"/>
        <v>0.919111372592769</v>
      </c>
      <c r="F26" s="113">
        <v>8</v>
      </c>
      <c r="G26" s="113">
        <f t="shared" si="4"/>
        <v>3</v>
      </c>
      <c r="H26" s="113">
        <v>87</v>
      </c>
      <c r="I26" s="39">
        <f t="shared" si="1"/>
        <v>3.782608695652174</v>
      </c>
      <c r="J26" s="40">
        <f t="shared" si="2"/>
        <v>0.75</v>
      </c>
      <c r="K26" s="113">
        <v>116</v>
      </c>
      <c r="L26" s="113">
        <v>23</v>
      </c>
      <c r="M26" s="100" t="s">
        <v>41</v>
      </c>
      <c r="N26" s="146">
        <f t="shared" si="15"/>
        <v>16433.25</v>
      </c>
      <c r="O26" s="29">
        <f t="shared" si="16"/>
        <v>15566.3125</v>
      </c>
      <c r="R26" s="61"/>
      <c r="S26" s="61"/>
      <c r="T26" s="115"/>
    </row>
    <row r="27" spans="1:20" s="114" customFormat="1" ht="15">
      <c r="A27" s="84">
        <v>42181</v>
      </c>
      <c r="B27" s="29">
        <f>'Portfolio  Worksheet'!I954</f>
        <v>249843.90999999997</v>
      </c>
      <c r="C27" s="34">
        <f>'Portfolio  Worksheet'!J954</f>
        <v>2.4984390999999997</v>
      </c>
      <c r="D27" s="156">
        <f>'Portfolio  Worksheet'!L954</f>
        <v>0.9563946675533097</v>
      </c>
      <c r="E27" s="156">
        <f t="shared" si="0"/>
        <v>0.9563946675533097</v>
      </c>
      <c r="F27" s="113">
        <v>7</v>
      </c>
      <c r="G27" s="113">
        <f t="shared" si="4"/>
        <v>3</v>
      </c>
      <c r="H27" s="113">
        <v>90</v>
      </c>
      <c r="I27" s="39">
        <f t="shared" si="1"/>
        <v>3.75</v>
      </c>
      <c r="J27" s="40">
        <f t="shared" si="2"/>
        <v>0.743801652892562</v>
      </c>
      <c r="K27" s="113">
        <v>121</v>
      </c>
      <c r="L27" s="113">
        <v>24</v>
      </c>
      <c r="M27" s="100" t="s">
        <v>41</v>
      </c>
      <c r="N27" s="146">
        <f t="shared" si="15"/>
        <v>6892.299999999988</v>
      </c>
      <c r="O27" s="29">
        <f t="shared" si="16"/>
        <v>15986.162499999999</v>
      </c>
      <c r="R27" s="61"/>
      <c r="S27" s="61"/>
      <c r="T27" s="115"/>
    </row>
    <row r="28" spans="1:20" s="114" customFormat="1" ht="15">
      <c r="A28" s="84">
        <v>42188</v>
      </c>
      <c r="B28" s="29">
        <f>'Portfolio  Worksheet'!I992</f>
        <v>256916.70999999996</v>
      </c>
      <c r="C28" s="34">
        <f>'Portfolio  Worksheet'!J992</f>
        <v>2.5691670999999996</v>
      </c>
      <c r="D28" s="156">
        <f>'Portfolio  Worksheet'!L992</f>
        <v>0.9874459226075462</v>
      </c>
      <c r="E28" s="156">
        <f t="shared" si="0"/>
        <v>0.9874459226075462</v>
      </c>
      <c r="F28" s="113">
        <v>7</v>
      </c>
      <c r="G28" s="113">
        <f t="shared" si="4"/>
        <v>2</v>
      </c>
      <c r="H28" s="113">
        <v>92</v>
      </c>
      <c r="I28" s="39">
        <f t="shared" si="1"/>
        <v>3.68</v>
      </c>
      <c r="J28" s="40">
        <f t="shared" si="2"/>
        <v>0.736</v>
      </c>
      <c r="K28" s="113">
        <v>125</v>
      </c>
      <c r="L28" s="113">
        <v>25</v>
      </c>
      <c r="M28" s="55" t="s">
        <v>42</v>
      </c>
      <c r="N28" s="146">
        <f aca="true" t="shared" si="17" ref="N28">B28-B27</f>
        <v>7072.799999999988</v>
      </c>
      <c r="O28" s="29">
        <f aca="true" t="shared" si="18" ref="O28">AVERAGE(N21:N28)</f>
        <v>16008.099999999999</v>
      </c>
      <c r="R28" s="61"/>
      <c r="S28" s="61"/>
      <c r="T28" s="115"/>
    </row>
    <row r="29" spans="1:20" s="114" customFormat="1" ht="15">
      <c r="A29" s="84">
        <v>42195</v>
      </c>
      <c r="B29" s="29">
        <f>'Portfolio  Worksheet'!I1032</f>
        <v>282889.00999999995</v>
      </c>
      <c r="C29" s="34">
        <f>'Portfolio  Worksheet'!J1032</f>
        <v>2.8288900999999993</v>
      </c>
      <c r="D29" s="156">
        <f>'Portfolio  Worksheet'!L1032</f>
        <v>0.9884641243685737</v>
      </c>
      <c r="E29" s="156">
        <f t="shared" si="0"/>
        <v>0.9884641243685737</v>
      </c>
      <c r="F29" s="113">
        <v>7</v>
      </c>
      <c r="G29" s="113">
        <f t="shared" si="4"/>
        <v>2</v>
      </c>
      <c r="H29" s="113">
        <v>94</v>
      </c>
      <c r="I29" s="39">
        <f t="shared" si="1"/>
        <v>3.6153846153846154</v>
      </c>
      <c r="J29" s="40">
        <f t="shared" si="2"/>
        <v>0.7230769230769231</v>
      </c>
      <c r="K29" s="113">
        <v>130</v>
      </c>
      <c r="L29" s="113">
        <v>26</v>
      </c>
      <c r="M29" s="55" t="s">
        <v>42</v>
      </c>
      <c r="N29" s="146">
        <f aca="true" t="shared" si="19" ref="N29">B29-B28</f>
        <v>25972.29999999999</v>
      </c>
      <c r="O29" s="29">
        <f aca="true" t="shared" si="20" ref="O29">AVERAGE(N22:N29)</f>
        <v>16458.243749999994</v>
      </c>
      <c r="R29" s="61"/>
      <c r="S29" s="61"/>
      <c r="T29" s="115"/>
    </row>
    <row r="30" spans="1:20" s="114" customFormat="1" ht="15">
      <c r="A30" s="84">
        <v>42202</v>
      </c>
      <c r="B30" s="29">
        <f>'Portfolio  Worksheet'!I1072</f>
        <v>333011.05999999994</v>
      </c>
      <c r="C30" s="34">
        <f>'Portfolio  Worksheet'!J1072</f>
        <v>3.3301105999999994</v>
      </c>
      <c r="D30" s="156">
        <f>'Portfolio  Worksheet'!L1072</f>
        <v>0.9645693576510496</v>
      </c>
      <c r="E30" s="156">
        <f t="shared" si="0"/>
        <v>0.9645693576510496</v>
      </c>
      <c r="F30" s="113">
        <v>7</v>
      </c>
      <c r="G30" s="113">
        <f t="shared" si="4"/>
        <v>6</v>
      </c>
      <c r="H30" s="113">
        <v>100</v>
      </c>
      <c r="I30" s="39">
        <f t="shared" si="1"/>
        <v>3.7037037037037037</v>
      </c>
      <c r="J30" s="40">
        <f t="shared" si="2"/>
        <v>0.7407407407407407</v>
      </c>
      <c r="K30" s="113">
        <v>135</v>
      </c>
      <c r="L30" s="113">
        <v>27</v>
      </c>
      <c r="M30" s="100" t="s">
        <v>41</v>
      </c>
      <c r="N30" s="146">
        <f aca="true" t="shared" si="21" ref="N30">B30-B29</f>
        <v>50122.04999999999</v>
      </c>
      <c r="O30" s="29">
        <f aca="true" t="shared" si="22" ref="O30">AVERAGE(N23:N30)</f>
        <v>22630.218749999993</v>
      </c>
      <c r="R30" s="61"/>
      <c r="S30" s="61"/>
      <c r="T30" s="115"/>
    </row>
    <row r="31" spans="1:20" s="114" customFormat="1" ht="15">
      <c r="A31" s="84">
        <v>42209</v>
      </c>
      <c r="B31" s="29">
        <f>'Portfolio  Worksheet'!I1113</f>
        <v>337977.8599999999</v>
      </c>
      <c r="C31" s="34">
        <f>'Portfolio  Worksheet'!J1113</f>
        <v>3.3797785999999994</v>
      </c>
      <c r="D31" s="156">
        <f>'Portfolio  Worksheet'!L1113</f>
        <v>0.9893729559754461</v>
      </c>
      <c r="E31" s="156">
        <f t="shared" si="0"/>
        <v>0.9893729559754461</v>
      </c>
      <c r="F31" s="113">
        <v>7</v>
      </c>
      <c r="G31" s="113">
        <f t="shared" si="4"/>
        <v>1</v>
      </c>
      <c r="H31" s="113">
        <v>101</v>
      </c>
      <c r="I31" s="39">
        <f t="shared" si="1"/>
        <v>3.607142857142857</v>
      </c>
      <c r="J31" s="40">
        <f t="shared" si="2"/>
        <v>0.7214285714285714</v>
      </c>
      <c r="K31" s="113">
        <v>140</v>
      </c>
      <c r="L31" s="113">
        <v>28</v>
      </c>
      <c r="M31" s="100" t="s">
        <v>41</v>
      </c>
      <c r="N31" s="146">
        <f aca="true" t="shared" si="23" ref="N31">B31-B30</f>
        <v>4966.799999999988</v>
      </c>
      <c r="O31" s="29">
        <f aca="true" t="shared" si="24" ref="O31">AVERAGE(N24:N31)</f>
        <v>23647.487499999992</v>
      </c>
      <c r="R31" s="61"/>
      <c r="S31" s="61"/>
      <c r="T31" s="115"/>
    </row>
    <row r="32" spans="1:20" s="114" customFormat="1" ht="15">
      <c r="A32" s="84">
        <v>42216</v>
      </c>
      <c r="B32" s="29">
        <f>'Portfolio  Worksheet'!I1157</f>
        <v>382780.86</v>
      </c>
      <c r="C32" s="34">
        <f>'Portfolio  Worksheet'!J1157</f>
        <v>3.8278086</v>
      </c>
      <c r="D32" s="156">
        <f>'Portfolio  Worksheet'!L1157</f>
        <v>0.9838435807086471</v>
      </c>
      <c r="E32" s="156">
        <f t="shared" si="0"/>
        <v>0.9838435807086471</v>
      </c>
      <c r="F32" s="113">
        <v>7</v>
      </c>
      <c r="G32" s="113">
        <f t="shared" si="4"/>
        <v>3</v>
      </c>
      <c r="H32" s="113">
        <v>104</v>
      </c>
      <c r="I32" s="39">
        <f t="shared" si="1"/>
        <v>3.586206896551724</v>
      </c>
      <c r="J32" s="40">
        <f t="shared" si="2"/>
        <v>0.7172413793103448</v>
      </c>
      <c r="K32" s="113">
        <v>145</v>
      </c>
      <c r="L32" s="113">
        <v>29</v>
      </c>
      <c r="M32" s="55" t="s">
        <v>42</v>
      </c>
      <c r="N32" s="146">
        <f aca="true" t="shared" si="25" ref="N32">B32-B31</f>
        <v>44803.00000000006</v>
      </c>
      <c r="O32" s="29">
        <f aca="true" t="shared" si="26" ref="O32">AVERAGE(N25:N32)</f>
        <v>23752.049999999996</v>
      </c>
      <c r="R32" s="61"/>
      <c r="S32" s="61"/>
      <c r="T32" s="115"/>
    </row>
    <row r="33" spans="1:20" s="114" customFormat="1" ht="15">
      <c r="A33" s="84">
        <v>42223</v>
      </c>
      <c r="B33" s="29">
        <f>'Portfolio  Worksheet'!I1196</f>
        <v>441804.91</v>
      </c>
      <c r="C33" s="34">
        <f>'Portfolio  Worksheet'!J1196</f>
        <v>4.4180491</v>
      </c>
      <c r="D33" s="156">
        <f>'Portfolio  Worksheet'!L1196</f>
        <v>0.9843338259891371</v>
      </c>
      <c r="E33" s="156">
        <v>0.79</v>
      </c>
      <c r="F33" s="113">
        <v>7</v>
      </c>
      <c r="G33" s="113">
        <f t="shared" si="4"/>
        <v>8</v>
      </c>
      <c r="H33" s="113">
        <v>112</v>
      </c>
      <c r="I33" s="39">
        <f t="shared" si="1"/>
        <v>3.7333333333333334</v>
      </c>
      <c r="J33" s="40">
        <f t="shared" si="2"/>
        <v>0.7466666666666667</v>
      </c>
      <c r="K33" s="113">
        <v>150</v>
      </c>
      <c r="L33" s="113">
        <v>30</v>
      </c>
      <c r="M33" s="55" t="s">
        <v>42</v>
      </c>
      <c r="N33" s="146">
        <f aca="true" t="shared" si="27" ref="N33">B33-B32</f>
        <v>59024.04999999999</v>
      </c>
      <c r="O33" s="29">
        <f aca="true" t="shared" si="28" ref="O33">AVERAGE(N26:N33)</f>
        <v>26910.81875</v>
      </c>
      <c r="R33" s="61"/>
      <c r="S33" s="61"/>
      <c r="T33" s="115"/>
    </row>
    <row r="34" spans="1:20" s="114" customFormat="1" ht="15">
      <c r="A34" s="84">
        <v>42230</v>
      </c>
      <c r="B34" s="29">
        <f>'Portfolio  Worksheet'!I1236</f>
        <v>473208.7599999999</v>
      </c>
      <c r="C34" s="34">
        <f>'Portfolio  Worksheet'!J1236</f>
        <v>4.732087599999999</v>
      </c>
      <c r="D34" s="156">
        <f>'Portfolio  Worksheet'!L1236</f>
        <v>0.9998929534852191</v>
      </c>
      <c r="E34" s="156">
        <v>0.67</v>
      </c>
      <c r="F34" s="113">
        <v>7</v>
      </c>
      <c r="G34" s="113">
        <f t="shared" si="4"/>
        <v>1</v>
      </c>
      <c r="H34" s="113">
        <v>113</v>
      </c>
      <c r="I34" s="39">
        <f t="shared" si="1"/>
        <v>3.6451612903225805</v>
      </c>
      <c r="J34" s="40">
        <f t="shared" si="2"/>
        <v>0.7290322580645161</v>
      </c>
      <c r="K34" s="113">
        <v>155</v>
      </c>
      <c r="L34" s="113">
        <v>31</v>
      </c>
      <c r="M34" s="55" t="s">
        <v>42</v>
      </c>
      <c r="N34" s="146">
        <f aca="true" t="shared" si="29" ref="N34">B34-B33</f>
        <v>31403.84999999992</v>
      </c>
      <c r="O34" s="29">
        <f aca="true" t="shared" si="30" ref="O34">AVERAGE(N27:N34)</f>
        <v>28782.14374999999</v>
      </c>
      <c r="R34" s="61"/>
      <c r="S34" s="61"/>
      <c r="T34" s="115"/>
    </row>
    <row r="35" spans="1:20" s="114" customFormat="1" ht="15">
      <c r="A35" s="84">
        <v>42237</v>
      </c>
      <c r="B35" s="29">
        <f>'Portfolio  Worksheet'!I1250</f>
        <v>446757.21</v>
      </c>
      <c r="C35" s="34">
        <f>'Portfolio  Worksheet'!J1250</f>
        <v>4.4675721</v>
      </c>
      <c r="D35" s="156">
        <f>'Portfolio  Worksheet'!L1250</f>
        <v>0.4253190369451187</v>
      </c>
      <c r="E35" s="156">
        <v>-0.08784520646741907</v>
      </c>
      <c r="F35" s="113">
        <v>4</v>
      </c>
      <c r="G35" s="113">
        <f t="shared" si="4"/>
        <v>6</v>
      </c>
      <c r="H35" s="113">
        <v>119</v>
      </c>
      <c r="I35" s="39">
        <f t="shared" si="1"/>
        <v>3.71875</v>
      </c>
      <c r="J35" s="40">
        <f t="shared" si="2"/>
        <v>0.74375</v>
      </c>
      <c r="K35" s="113">
        <v>160</v>
      </c>
      <c r="L35" s="113">
        <v>32</v>
      </c>
      <c r="M35" s="55" t="s">
        <v>42</v>
      </c>
      <c r="N35" s="145">
        <f aca="true" t="shared" si="31" ref="N35">B35-B34</f>
        <v>-26451.549999999872</v>
      </c>
      <c r="O35" s="29">
        <f aca="true" t="shared" si="32" ref="O35">AVERAGE(N28:N35)</f>
        <v>24614.162500000006</v>
      </c>
      <c r="R35" s="61"/>
      <c r="S35" s="61"/>
      <c r="T35" s="115"/>
    </row>
    <row r="36" spans="1:20" s="114" customFormat="1" ht="15">
      <c r="A36" s="84">
        <v>42244</v>
      </c>
      <c r="B36" s="29">
        <f>'Portfolio  Worksheet'!I1265</f>
        <v>481882.61000000004</v>
      </c>
      <c r="C36" s="34">
        <f>'Portfolio  Worksheet'!J1265</f>
        <v>4.818826100000001</v>
      </c>
      <c r="D36" s="156">
        <f>'Portfolio  Worksheet'!L1265</f>
        <v>0.43509205404849605</v>
      </c>
      <c r="E36" s="156">
        <f aca="true" t="shared" si="33" ref="E36:E45">D36</f>
        <v>0.43509205404849605</v>
      </c>
      <c r="F36" s="113">
        <v>3</v>
      </c>
      <c r="G36" s="113">
        <f t="shared" si="4"/>
        <v>7</v>
      </c>
      <c r="H36" s="113">
        <v>126</v>
      </c>
      <c r="I36" s="39">
        <f t="shared" si="1"/>
        <v>3.8181818181818183</v>
      </c>
      <c r="J36" s="40">
        <f t="shared" si="2"/>
        <v>0.7636363636363637</v>
      </c>
      <c r="K36" s="113">
        <v>165</v>
      </c>
      <c r="L36" s="113">
        <v>33</v>
      </c>
      <c r="M36" s="139" t="s">
        <v>30</v>
      </c>
      <c r="N36" s="146">
        <f aca="true" t="shared" si="34" ref="N36">B36-B35</f>
        <v>35125.40000000002</v>
      </c>
      <c r="O36" s="29">
        <f aca="true" t="shared" si="35" ref="O36">AVERAGE(N29:N36)</f>
        <v>28120.73750000001</v>
      </c>
      <c r="R36" s="61"/>
      <c r="S36" s="61"/>
      <c r="T36" s="115"/>
    </row>
    <row r="37" spans="1:20" s="114" customFormat="1" ht="15">
      <c r="A37" s="84">
        <v>42251</v>
      </c>
      <c r="B37" s="29">
        <f>'Portfolio  Worksheet'!I1281</f>
        <v>472965.71</v>
      </c>
      <c r="C37" s="34">
        <f>'Portfolio  Worksheet'!J1281</f>
        <v>4.7296571</v>
      </c>
      <c r="D37" s="156">
        <f>'Portfolio  Worksheet'!L1281</f>
        <v>0.529333596595161</v>
      </c>
      <c r="E37" s="156">
        <f t="shared" si="33"/>
        <v>0.529333596595161</v>
      </c>
      <c r="F37" s="113">
        <v>4</v>
      </c>
      <c r="G37" s="113">
        <f t="shared" si="4"/>
        <v>1</v>
      </c>
      <c r="H37" s="113">
        <v>127</v>
      </c>
      <c r="I37" s="39">
        <f t="shared" si="1"/>
        <v>3.735294117647059</v>
      </c>
      <c r="J37" s="40">
        <f t="shared" si="2"/>
        <v>0.7470588235294118</v>
      </c>
      <c r="K37" s="113">
        <v>170</v>
      </c>
      <c r="L37" s="113">
        <v>34</v>
      </c>
      <c r="M37" s="139" t="s">
        <v>30</v>
      </c>
      <c r="N37" s="146">
        <f aca="true" t="shared" si="36" ref="N37:N38">B37-B36</f>
        <v>-8916.900000000023</v>
      </c>
      <c r="O37" s="29">
        <f aca="true" t="shared" si="37" ref="O37:O38">AVERAGE(N30:N37)</f>
        <v>23759.58750000001</v>
      </c>
      <c r="R37" s="61"/>
      <c r="S37" s="61"/>
      <c r="T37" s="115"/>
    </row>
    <row r="38" spans="1:20" s="114" customFormat="1" ht="15">
      <c r="A38" s="84">
        <v>42258</v>
      </c>
      <c r="B38" s="29">
        <f>'Portfolio  Worksheet'!I1301</f>
        <v>515982.41000000003</v>
      </c>
      <c r="C38" s="34">
        <f>'Portfolio  Worksheet'!J1301</f>
        <v>5.159824100000001</v>
      </c>
      <c r="D38" s="156">
        <f>'Portfolio  Worksheet'!L1301</f>
        <v>0.6553443628365947</v>
      </c>
      <c r="E38" s="156">
        <f t="shared" si="33"/>
        <v>0.6553443628365947</v>
      </c>
      <c r="F38" s="113">
        <v>4</v>
      </c>
      <c r="G38" s="113">
        <f t="shared" si="4"/>
        <v>4</v>
      </c>
      <c r="H38" s="113">
        <v>131</v>
      </c>
      <c r="I38" s="39">
        <f t="shared" si="1"/>
        <v>3.742857142857143</v>
      </c>
      <c r="J38" s="40">
        <f t="shared" si="2"/>
        <v>0.7528735632183908</v>
      </c>
      <c r="K38" s="113">
        <v>174</v>
      </c>
      <c r="L38" s="113">
        <v>35</v>
      </c>
      <c r="M38" s="55" t="s">
        <v>42</v>
      </c>
      <c r="N38" s="146">
        <f t="shared" si="36"/>
        <v>43016.70000000001</v>
      </c>
      <c r="O38" s="29">
        <f t="shared" si="37"/>
        <v>22871.41875000001</v>
      </c>
      <c r="R38" s="61"/>
      <c r="S38" s="61"/>
      <c r="T38" s="115"/>
    </row>
    <row r="39" spans="1:20" s="114" customFormat="1" ht="15">
      <c r="A39" s="84">
        <v>42265</v>
      </c>
      <c r="B39" s="29">
        <f>'Portfolio  Worksheet'!I1320</f>
        <v>518576.91000000003</v>
      </c>
      <c r="C39" s="34">
        <f>'Portfolio  Worksheet'!J1320</f>
        <v>5.1857691</v>
      </c>
      <c r="D39" s="156">
        <f>'Portfolio  Worksheet'!L1320</f>
        <v>0.5704926813385258</v>
      </c>
      <c r="E39" s="156">
        <f t="shared" si="33"/>
        <v>0.5704926813385258</v>
      </c>
      <c r="F39" s="113">
        <v>4</v>
      </c>
      <c r="G39" s="113">
        <f t="shared" si="4"/>
        <v>2</v>
      </c>
      <c r="H39" s="113">
        <v>133</v>
      </c>
      <c r="I39" s="39">
        <f t="shared" si="1"/>
        <v>3.6944444444444446</v>
      </c>
      <c r="J39" s="40">
        <f t="shared" si="2"/>
        <v>0.7430167597765364</v>
      </c>
      <c r="K39" s="113">
        <v>179</v>
      </c>
      <c r="L39" s="113">
        <v>36</v>
      </c>
      <c r="M39" s="55" t="s">
        <v>42</v>
      </c>
      <c r="N39" s="146">
        <f aca="true" t="shared" si="38" ref="N39">B39-B38</f>
        <v>2594.5</v>
      </c>
      <c r="O39" s="29">
        <f aca="true" t="shared" si="39" ref="O39">AVERAGE(N32:N39)</f>
        <v>22574.881250000013</v>
      </c>
      <c r="R39" s="61"/>
      <c r="S39" s="61"/>
      <c r="T39" s="115"/>
    </row>
    <row r="40" spans="1:20" s="114" customFormat="1" ht="15">
      <c r="A40" s="84">
        <v>42272</v>
      </c>
      <c r="B40" s="29">
        <f>'Portfolio  Worksheet'!I1337</f>
        <v>498141.31</v>
      </c>
      <c r="C40" s="34">
        <f>'Portfolio  Worksheet'!J1337</f>
        <v>4.9814131</v>
      </c>
      <c r="D40" s="156">
        <f>'Portfolio  Worksheet'!L1337</f>
        <v>0.5584840812951039</v>
      </c>
      <c r="E40" s="156">
        <f t="shared" si="33"/>
        <v>0.5584840812951039</v>
      </c>
      <c r="F40" s="113">
        <v>5</v>
      </c>
      <c r="G40" s="113">
        <f t="shared" si="4"/>
        <v>5</v>
      </c>
      <c r="H40" s="113">
        <v>138</v>
      </c>
      <c r="I40" s="39">
        <f t="shared" si="1"/>
        <v>3.72972972972973</v>
      </c>
      <c r="J40" s="40">
        <f t="shared" si="2"/>
        <v>0.75</v>
      </c>
      <c r="K40" s="113">
        <v>184</v>
      </c>
      <c r="L40" s="113">
        <v>37</v>
      </c>
      <c r="M40" s="55" t="s">
        <v>42</v>
      </c>
      <c r="N40" s="145">
        <f aca="true" t="shared" si="40" ref="N40:N41">B40-B39</f>
        <v>-20435.600000000035</v>
      </c>
      <c r="O40" s="29">
        <f aca="true" t="shared" si="41" ref="O40:O41">AVERAGE(N33:N40)</f>
        <v>14420.056250000001</v>
      </c>
      <c r="R40" s="61"/>
      <c r="S40" s="61"/>
      <c r="T40" s="115"/>
    </row>
    <row r="41" spans="1:20" s="114" customFormat="1" ht="15">
      <c r="A41" s="84">
        <v>42279</v>
      </c>
      <c r="B41" s="29">
        <f>'Portfolio  Worksheet'!I1361</f>
        <v>515493.00999999995</v>
      </c>
      <c r="C41" s="34">
        <f>'Portfolio  Worksheet'!J1361</f>
        <v>5.1549301</v>
      </c>
      <c r="D41" s="156">
        <f>'Portfolio  Worksheet'!L1361</f>
        <v>0.9394320335173262</v>
      </c>
      <c r="E41" s="156">
        <f t="shared" si="33"/>
        <v>0.9394320335173262</v>
      </c>
      <c r="F41" s="113">
        <v>7</v>
      </c>
      <c r="G41" s="113">
        <f t="shared" si="4"/>
        <v>9</v>
      </c>
      <c r="H41" s="113">
        <v>147</v>
      </c>
      <c r="I41" s="39">
        <f t="shared" si="1"/>
        <v>3.8684210526315788</v>
      </c>
      <c r="J41" s="40">
        <f t="shared" si="2"/>
        <v>0.7777777777777778</v>
      </c>
      <c r="K41" s="113">
        <v>189</v>
      </c>
      <c r="L41" s="113">
        <v>38</v>
      </c>
      <c r="M41" s="139" t="s">
        <v>30</v>
      </c>
      <c r="N41" s="146">
        <f t="shared" si="40"/>
        <v>17351.699999999953</v>
      </c>
      <c r="O41" s="29">
        <f t="shared" si="41"/>
        <v>9211.012499999997</v>
      </c>
      <c r="R41" s="61"/>
      <c r="S41" s="61"/>
      <c r="T41" s="115"/>
    </row>
    <row r="42" spans="1:20" s="114" customFormat="1" ht="15">
      <c r="A42" s="84">
        <v>42286</v>
      </c>
      <c r="B42" s="29">
        <f>'Portfolio  Worksheet'!I1389</f>
        <v>582375.01</v>
      </c>
      <c r="C42" s="34">
        <f>'Portfolio  Worksheet'!J1389</f>
        <v>5.8237501</v>
      </c>
      <c r="D42" s="156">
        <f>'Portfolio  Worksheet'!L1389</f>
        <v>0.9984538413855454</v>
      </c>
      <c r="E42" s="156">
        <f t="shared" si="33"/>
        <v>0.9984538413855454</v>
      </c>
      <c r="F42" s="113">
        <v>7</v>
      </c>
      <c r="G42" s="113">
        <f t="shared" si="4"/>
        <v>6</v>
      </c>
      <c r="H42" s="113">
        <v>153</v>
      </c>
      <c r="I42" s="39">
        <f t="shared" si="1"/>
        <v>3.923076923076923</v>
      </c>
      <c r="J42" s="40">
        <f t="shared" si="2"/>
        <v>0.788659793814433</v>
      </c>
      <c r="K42" s="113">
        <v>194</v>
      </c>
      <c r="L42" s="113">
        <v>39</v>
      </c>
      <c r="M42" s="100" t="s">
        <v>41</v>
      </c>
      <c r="N42" s="146">
        <f aca="true" t="shared" si="42" ref="N42">B42-B41</f>
        <v>66882.00000000006</v>
      </c>
      <c r="O42" s="29">
        <f aca="true" t="shared" si="43" ref="O42">AVERAGE(N35:N42)</f>
        <v>13645.781250000015</v>
      </c>
      <c r="R42" s="61"/>
      <c r="S42" s="61"/>
      <c r="T42" s="115"/>
    </row>
    <row r="43" spans="1:20" s="114" customFormat="1" ht="15">
      <c r="A43" s="84">
        <v>42293</v>
      </c>
      <c r="B43" s="29">
        <f>'Portfolio  Worksheet'!I1419</f>
        <v>639055.21</v>
      </c>
      <c r="C43" s="34">
        <f>'Portfolio  Worksheet'!J1419</f>
        <v>6.3905521</v>
      </c>
      <c r="D43" s="156">
        <f>'Portfolio  Worksheet'!L1419</f>
        <v>0.989593118489754</v>
      </c>
      <c r="E43" s="156">
        <f t="shared" si="33"/>
        <v>0.989593118489754</v>
      </c>
      <c r="F43" s="113">
        <v>7</v>
      </c>
      <c r="G43" s="113">
        <f t="shared" si="4"/>
        <v>2</v>
      </c>
      <c r="H43" s="113">
        <v>155</v>
      </c>
      <c r="I43" s="39">
        <f t="shared" si="1"/>
        <v>3.875</v>
      </c>
      <c r="J43" s="40">
        <f t="shared" si="2"/>
        <v>0.7788944723618091</v>
      </c>
      <c r="K43" s="113">
        <v>199</v>
      </c>
      <c r="L43" s="113">
        <v>40</v>
      </c>
      <c r="M43" s="100" t="s">
        <v>41</v>
      </c>
      <c r="N43" s="146">
        <f aca="true" t="shared" si="44" ref="N43">B43-B42</f>
        <v>56680.19999999995</v>
      </c>
      <c r="O43" s="29">
        <f aca="true" t="shared" si="45" ref="O43">AVERAGE(N36:N43)</f>
        <v>24037.249999999993</v>
      </c>
      <c r="R43" s="61"/>
      <c r="S43" s="61"/>
      <c r="T43" s="115"/>
    </row>
    <row r="44" spans="1:20" s="114" customFormat="1" ht="15">
      <c r="A44" s="84">
        <v>42300</v>
      </c>
      <c r="B44" s="29">
        <f>'Portfolio  Worksheet'!I1450</f>
        <v>666055.3099999999</v>
      </c>
      <c r="C44" s="34">
        <f>'Portfolio  Worksheet'!J1450</f>
        <v>6.6605531</v>
      </c>
      <c r="D44" s="156">
        <f>'Portfolio  Worksheet'!L1450</f>
        <v>0.9940669297103365</v>
      </c>
      <c r="E44" s="156">
        <f t="shared" si="33"/>
        <v>0.9940669297103365</v>
      </c>
      <c r="F44" s="113">
        <v>7</v>
      </c>
      <c r="G44" s="113">
        <f t="shared" si="4"/>
        <v>0</v>
      </c>
      <c r="H44" s="113">
        <v>155</v>
      </c>
      <c r="I44" s="39">
        <f t="shared" si="1"/>
        <v>3.7804878048780486</v>
      </c>
      <c r="J44" s="40">
        <f t="shared" si="2"/>
        <v>0.7598039215686274</v>
      </c>
      <c r="K44" s="113">
        <v>204</v>
      </c>
      <c r="L44" s="113">
        <v>41</v>
      </c>
      <c r="M44" s="100" t="s">
        <v>41</v>
      </c>
      <c r="N44" s="146">
        <f aca="true" t="shared" si="46" ref="N44">B44-B43</f>
        <v>27000.099999999977</v>
      </c>
      <c r="O44" s="29">
        <f aca="true" t="shared" si="47" ref="O44">AVERAGE(N37:N44)</f>
        <v>23021.587499999987</v>
      </c>
      <c r="R44" s="61"/>
      <c r="S44" s="61"/>
      <c r="T44" s="115"/>
    </row>
    <row r="45" spans="1:20" s="114" customFormat="1" ht="15">
      <c r="A45" s="84">
        <v>42307</v>
      </c>
      <c r="B45" s="29">
        <f>'Portfolio  Worksheet'!I1477</f>
        <v>655028.3099999999</v>
      </c>
      <c r="C45" s="34">
        <f>'Portfolio  Worksheet'!J1477</f>
        <v>6.5502831</v>
      </c>
      <c r="D45" s="156">
        <f>'Portfolio  Worksheet'!L1477</f>
        <v>0.8347990951491607</v>
      </c>
      <c r="E45" s="156">
        <f t="shared" si="33"/>
        <v>0.8347990951491607</v>
      </c>
      <c r="F45" s="113">
        <v>6</v>
      </c>
      <c r="G45" s="113">
        <f t="shared" si="4"/>
        <v>1</v>
      </c>
      <c r="H45" s="113">
        <v>156</v>
      </c>
      <c r="I45" s="39">
        <f t="shared" si="1"/>
        <v>3.7142857142857144</v>
      </c>
      <c r="J45" s="40">
        <f t="shared" si="2"/>
        <v>0.7464114832535885</v>
      </c>
      <c r="K45" s="113">
        <v>209</v>
      </c>
      <c r="L45" s="113">
        <v>42</v>
      </c>
      <c r="M45" s="100" t="s">
        <v>41</v>
      </c>
      <c r="N45" s="145">
        <f aca="true" t="shared" si="48" ref="N45">B45-B44</f>
        <v>-11027</v>
      </c>
      <c r="O45" s="29">
        <f aca="true" t="shared" si="49" ref="O45">AVERAGE(N38:N45)</f>
        <v>22757.82499999999</v>
      </c>
      <c r="R45" s="61"/>
      <c r="S45" s="61"/>
      <c r="T45" s="115"/>
    </row>
    <row r="46" spans="1:20" s="114" customFormat="1" ht="15">
      <c r="A46" s="84"/>
      <c r="B46" s="29"/>
      <c r="C46" s="34"/>
      <c r="D46" s="156"/>
      <c r="E46" s="156"/>
      <c r="F46" s="113"/>
      <c r="G46" s="113"/>
      <c r="H46" s="113"/>
      <c r="I46" s="39"/>
      <c r="J46" s="40"/>
      <c r="K46" s="113"/>
      <c r="L46" s="113"/>
      <c r="M46" s="82"/>
      <c r="N46" s="146"/>
      <c r="O46" s="29"/>
      <c r="R46" s="61"/>
      <c r="S46" s="61"/>
      <c r="T46" s="115"/>
    </row>
    <row r="47" spans="1:20" s="114" customFormat="1" ht="15">
      <c r="A47" s="84"/>
      <c r="B47" s="29"/>
      <c r="C47" s="34"/>
      <c r="D47" s="156"/>
      <c r="E47" s="156"/>
      <c r="I47" s="39"/>
      <c r="J47" s="40"/>
      <c r="R47" s="61"/>
      <c r="S47" s="61"/>
      <c r="T47" s="115"/>
    </row>
    <row r="48" spans="1:20" s="101" customFormat="1" ht="15">
      <c r="A48" s="115"/>
      <c r="B48" s="29"/>
      <c r="C48" s="34"/>
      <c r="D48" s="156"/>
      <c r="E48" s="73"/>
      <c r="I48" s="39"/>
      <c r="J48" s="40"/>
      <c r="M48" s="86"/>
      <c r="O48" s="114"/>
      <c r="P48" s="112"/>
      <c r="R48" s="61"/>
      <c r="S48" s="61"/>
      <c r="T48" s="102"/>
    </row>
    <row r="49" spans="1:20" s="112" customFormat="1" ht="15">
      <c r="A49" s="102"/>
      <c r="B49" s="29"/>
      <c r="C49" s="34"/>
      <c r="D49" s="73"/>
      <c r="E49" s="73"/>
      <c r="I49" s="39"/>
      <c r="J49" s="40"/>
      <c r="M49" s="113"/>
      <c r="O49" s="114"/>
      <c r="P49" s="101"/>
      <c r="R49" s="61"/>
      <c r="S49" s="61"/>
      <c r="T49" s="110"/>
    </row>
    <row r="50" spans="1:20" s="112" customFormat="1" ht="15">
      <c r="A50" s="110"/>
      <c r="B50" s="29"/>
      <c r="C50" s="34"/>
      <c r="D50" s="73"/>
      <c r="E50" s="73"/>
      <c r="I50" s="39"/>
      <c r="J50" s="40"/>
      <c r="M50" s="113"/>
      <c r="O50" s="114"/>
      <c r="P50" s="101"/>
      <c r="R50" s="61"/>
      <c r="S50" s="61"/>
      <c r="T50" s="110"/>
    </row>
    <row r="51" spans="1:20" s="101" customFormat="1" ht="15">
      <c r="A51" s="110"/>
      <c r="B51" s="29"/>
      <c r="C51" s="34"/>
      <c r="D51" s="73"/>
      <c r="E51" s="73"/>
      <c r="I51" s="39"/>
      <c r="J51" s="40"/>
      <c r="M51" s="86"/>
      <c r="O51" s="114"/>
      <c r="P51"/>
      <c r="R51" s="61"/>
      <c r="S51" s="61"/>
      <c r="T51" s="102"/>
    </row>
    <row r="52" spans="1:20" s="101" customFormat="1" ht="15">
      <c r="A52" s="102"/>
      <c r="B52" s="29"/>
      <c r="C52" s="34"/>
      <c r="D52" s="73"/>
      <c r="E52" s="73"/>
      <c r="I52" s="39"/>
      <c r="J52" s="40"/>
      <c r="M52" s="86"/>
      <c r="O52" s="114"/>
      <c r="P52" s="57"/>
      <c r="R52" s="61"/>
      <c r="S52" s="61"/>
      <c r="T52" s="102"/>
    </row>
    <row r="53" spans="1:20" ht="15">
      <c r="A53" s="102"/>
      <c r="D53" s="73"/>
      <c r="E53" s="73"/>
      <c r="G53" s="57"/>
      <c r="H53" s="101"/>
      <c r="J53" s="40"/>
      <c r="M53" s="86"/>
      <c r="P53" s="57"/>
      <c r="Q53" s="68"/>
      <c r="R53" s="61"/>
      <c r="S53" s="61"/>
      <c r="T53" s="70"/>
    </row>
    <row r="54" spans="1:20" s="57" customFormat="1" ht="15">
      <c r="A54" s="56"/>
      <c r="B54" s="29"/>
      <c r="C54" s="34"/>
      <c r="D54" s="73"/>
      <c r="E54" s="73"/>
      <c r="I54" s="39"/>
      <c r="J54" s="40"/>
      <c r="M54" s="86"/>
      <c r="O54" s="114"/>
      <c r="P54" s="64"/>
      <c r="Q54" s="68"/>
      <c r="R54" s="61"/>
      <c r="S54" s="61"/>
      <c r="T54" s="70"/>
    </row>
    <row r="55" spans="1:20" s="57" customFormat="1" ht="15">
      <c r="A55" s="58"/>
      <c r="B55" s="29"/>
      <c r="C55" s="34"/>
      <c r="D55" s="73"/>
      <c r="E55" s="73"/>
      <c r="G55" s="62"/>
      <c r="I55" s="39"/>
      <c r="J55" s="40"/>
      <c r="M55" s="86"/>
      <c r="O55" s="114"/>
      <c r="P55" s="63"/>
      <c r="Q55" s="68"/>
      <c r="R55" s="61"/>
      <c r="S55" s="61"/>
      <c r="T55" s="70"/>
    </row>
    <row r="56" spans="1:20" s="63" customFormat="1" ht="15">
      <c r="A56" s="58"/>
      <c r="B56" s="29"/>
      <c r="C56" s="34"/>
      <c r="D56" s="73"/>
      <c r="E56" s="73"/>
      <c r="I56" s="39"/>
      <c r="J56" s="40"/>
      <c r="M56" s="86"/>
      <c r="O56" s="114"/>
      <c r="P56"/>
      <c r="Q56" s="69"/>
      <c r="R56" s="61"/>
      <c r="S56" s="61"/>
      <c r="T56" s="70"/>
    </row>
    <row r="57" spans="1:20" s="63" customFormat="1" ht="15">
      <c r="A57" s="64"/>
      <c r="B57" s="29"/>
      <c r="C57" s="34"/>
      <c r="D57" s="34"/>
      <c r="E57" s="34"/>
      <c r="G57" s="68"/>
      <c r="I57" s="39"/>
      <c r="J57" s="40"/>
      <c r="L57" s="68"/>
      <c r="M57" s="86"/>
      <c r="O57" s="114"/>
      <c r="P57"/>
      <c r="Q57" s="68"/>
      <c r="R57" s="61"/>
      <c r="S57" s="61"/>
      <c r="T57" s="70"/>
    </row>
    <row r="58" spans="1:20" ht="15">
      <c r="A58" s="64"/>
      <c r="G58" s="90"/>
      <c r="J58" s="40"/>
      <c r="M58" s="86"/>
      <c r="Q58" s="69"/>
      <c r="R58" s="61"/>
      <c r="S58" s="61"/>
      <c r="T58" s="70"/>
    </row>
    <row r="59" spans="1:20" ht="15">
      <c r="A59" s="70"/>
      <c r="G59" s="90"/>
      <c r="J59" s="40"/>
      <c r="M59" s="86"/>
      <c r="P59" s="69"/>
      <c r="Q59" s="69"/>
      <c r="R59" s="61"/>
      <c r="S59" s="61"/>
      <c r="T59" s="70"/>
    </row>
    <row r="60" spans="1:20" ht="15">
      <c r="A60" s="70"/>
      <c r="B60" s="76"/>
      <c r="C60" s="73"/>
      <c r="D60" s="73"/>
      <c r="E60" s="73"/>
      <c r="F60" s="71"/>
      <c r="G60" s="90"/>
      <c r="H60" s="71"/>
      <c r="I60" s="77"/>
      <c r="J60" s="60"/>
      <c r="K60" s="71"/>
      <c r="L60" s="71"/>
      <c r="M60" s="86"/>
      <c r="P60" s="79"/>
      <c r="Q60" s="69"/>
      <c r="R60" s="61"/>
      <c r="S60" s="61"/>
      <c r="T60" s="70"/>
    </row>
    <row r="61" spans="1:20" s="69" customFormat="1" ht="15">
      <c r="A61" s="54"/>
      <c r="B61" s="76"/>
      <c r="C61" s="73"/>
      <c r="D61" s="73"/>
      <c r="E61" s="73"/>
      <c r="F61" s="78"/>
      <c r="G61" s="90"/>
      <c r="H61" s="78"/>
      <c r="I61" s="77"/>
      <c r="J61" s="60"/>
      <c r="K61" s="78"/>
      <c r="L61" s="78"/>
      <c r="M61" s="86"/>
      <c r="O61" s="114"/>
      <c r="Q61" s="79"/>
      <c r="R61" s="61"/>
      <c r="S61" s="61"/>
      <c r="T61" s="70"/>
    </row>
    <row r="62" spans="1:20" s="79" customFormat="1" ht="15">
      <c r="A62" s="54"/>
      <c r="B62" s="76"/>
      <c r="C62" s="73"/>
      <c r="D62" s="73"/>
      <c r="E62" s="73"/>
      <c r="F62" s="83"/>
      <c r="G62" s="90"/>
      <c r="H62" s="83"/>
      <c r="I62" s="77"/>
      <c r="J62" s="60"/>
      <c r="K62" s="83"/>
      <c r="L62" s="83"/>
      <c r="M62" s="86"/>
      <c r="O62" s="114"/>
      <c r="R62" s="61"/>
      <c r="S62" s="61"/>
      <c r="T62" s="80"/>
    </row>
    <row r="63" spans="1:20" s="69" customFormat="1" ht="15">
      <c r="A63" s="84"/>
      <c r="B63" s="29"/>
      <c r="C63" s="34"/>
      <c r="D63" s="34"/>
      <c r="E63" s="34"/>
      <c r="F63" s="83"/>
      <c r="G63" s="90"/>
      <c r="H63" s="83"/>
      <c r="I63" s="39"/>
      <c r="J63" s="60"/>
      <c r="K63" s="83"/>
      <c r="L63" s="83"/>
      <c r="M63" s="86"/>
      <c r="O63" s="114"/>
      <c r="P63" s="90"/>
      <c r="Q63" s="79"/>
      <c r="R63" s="61"/>
      <c r="S63" s="61"/>
      <c r="T63" s="80"/>
    </row>
    <row r="64" spans="1:20" s="79" customFormat="1" ht="15">
      <c r="A64" s="80"/>
      <c r="B64" s="29"/>
      <c r="C64" s="34"/>
      <c r="D64" s="34"/>
      <c r="E64" s="34"/>
      <c r="F64" s="86"/>
      <c r="G64" s="90"/>
      <c r="H64" s="86"/>
      <c r="I64" s="39"/>
      <c r="J64" s="60"/>
      <c r="K64" s="86"/>
      <c r="L64" s="86"/>
      <c r="M64" s="86"/>
      <c r="O64" s="114"/>
      <c r="Q64" s="90"/>
      <c r="R64" s="61"/>
      <c r="S64" s="61"/>
      <c r="T64" s="88"/>
    </row>
    <row r="65" spans="1:20" s="90" customFormat="1" ht="15">
      <c r="A65" s="88"/>
      <c r="B65" s="29"/>
      <c r="C65" s="34"/>
      <c r="D65" s="34"/>
      <c r="E65" s="34"/>
      <c r="F65" s="86"/>
      <c r="H65" s="86"/>
      <c r="I65" s="39"/>
      <c r="J65" s="60"/>
      <c r="K65" s="86"/>
      <c r="L65" s="86"/>
      <c r="M65" s="86"/>
      <c r="O65" s="114"/>
      <c r="R65" s="61"/>
      <c r="S65" s="61"/>
      <c r="T65" s="91"/>
    </row>
    <row r="66" spans="1:20" s="79" customFormat="1" ht="15">
      <c r="A66" s="91"/>
      <c r="B66" s="29"/>
      <c r="C66" s="34"/>
      <c r="D66" s="34"/>
      <c r="E66" s="34"/>
      <c r="F66" s="86"/>
      <c r="G66" s="90"/>
      <c r="H66" s="86"/>
      <c r="I66" s="39"/>
      <c r="J66" s="60"/>
      <c r="K66" s="86"/>
      <c r="L66" s="86"/>
      <c r="M66" s="86"/>
      <c r="O66" s="114"/>
      <c r="P66" s="90"/>
      <c r="Q66" s="90"/>
      <c r="R66" s="61"/>
      <c r="S66" s="61"/>
      <c r="T66" s="91"/>
    </row>
    <row r="67" spans="1:20" s="90" customFormat="1" ht="15">
      <c r="A67" s="91"/>
      <c r="B67" s="29"/>
      <c r="C67" s="34"/>
      <c r="D67" s="34"/>
      <c r="E67" s="34"/>
      <c r="F67" s="86"/>
      <c r="H67" s="86"/>
      <c r="I67" s="39"/>
      <c r="J67" s="60"/>
      <c r="K67" s="86"/>
      <c r="L67" s="86"/>
      <c r="M67" s="86"/>
      <c r="O67" s="114"/>
      <c r="R67" s="61"/>
      <c r="S67" s="61"/>
      <c r="T67" s="91"/>
    </row>
    <row r="68" spans="1:20" s="90" customFormat="1" ht="15">
      <c r="A68" s="91"/>
      <c r="B68" s="29"/>
      <c r="C68" s="34"/>
      <c r="D68" s="34"/>
      <c r="E68" s="34"/>
      <c r="F68" s="86"/>
      <c r="H68" s="86"/>
      <c r="I68" s="39"/>
      <c r="J68" s="60"/>
      <c r="K68" s="86"/>
      <c r="L68" s="86"/>
      <c r="M68" s="86"/>
      <c r="O68" s="114"/>
      <c r="Q68" s="93"/>
      <c r="R68" s="61"/>
      <c r="S68" s="61"/>
      <c r="T68" s="91"/>
    </row>
    <row r="69" spans="1:20" s="90" customFormat="1" ht="15">
      <c r="A69" s="91"/>
      <c r="B69" s="29"/>
      <c r="C69" s="34"/>
      <c r="D69" s="34"/>
      <c r="E69" s="34"/>
      <c r="F69" s="86"/>
      <c r="G69" s="93"/>
      <c r="H69" s="86"/>
      <c r="I69" s="39"/>
      <c r="J69" s="60"/>
      <c r="K69" s="86"/>
      <c r="L69" s="86"/>
      <c r="M69" s="86"/>
      <c r="O69" s="114"/>
      <c r="P69" s="93"/>
      <c r="Q69" s="93"/>
      <c r="R69" s="61"/>
      <c r="S69" s="61"/>
      <c r="T69" s="91"/>
    </row>
    <row r="70" spans="1:20" s="90" customFormat="1" ht="15">
      <c r="A70" s="91"/>
      <c r="B70" s="29"/>
      <c r="C70" s="34"/>
      <c r="D70" s="34"/>
      <c r="E70" s="34"/>
      <c r="F70" s="86"/>
      <c r="G70" s="93"/>
      <c r="H70" s="86"/>
      <c r="I70" s="39"/>
      <c r="J70" s="60"/>
      <c r="K70" s="86"/>
      <c r="L70" s="86"/>
      <c r="M70" s="86"/>
      <c r="O70" s="114"/>
      <c r="P70" s="94"/>
      <c r="Q70" s="93"/>
      <c r="R70" s="61"/>
      <c r="S70" s="61"/>
      <c r="T70" s="94"/>
    </row>
    <row r="71" spans="1:20" s="93" customFormat="1" ht="15">
      <c r="A71" s="94"/>
      <c r="B71" s="29"/>
      <c r="C71" s="34"/>
      <c r="D71" s="34"/>
      <c r="E71" s="34"/>
      <c r="F71" s="86"/>
      <c r="H71" s="86"/>
      <c r="I71" s="39"/>
      <c r="J71" s="60"/>
      <c r="K71" s="86"/>
      <c r="L71" s="86"/>
      <c r="M71" s="86"/>
      <c r="O71" s="114"/>
      <c r="R71" s="61"/>
      <c r="S71" s="61"/>
      <c r="T71" s="94"/>
    </row>
    <row r="72" spans="1:20" s="93" customFormat="1" ht="15">
      <c r="A72" s="94"/>
      <c r="B72" s="29"/>
      <c r="C72" s="34"/>
      <c r="D72" s="34"/>
      <c r="E72" s="34"/>
      <c r="F72" s="86"/>
      <c r="H72" s="86"/>
      <c r="I72" s="39"/>
      <c r="J72" s="60"/>
      <c r="K72" s="86"/>
      <c r="L72" s="86"/>
      <c r="M72" s="86"/>
      <c r="O72" s="114"/>
      <c r="P72" s="90"/>
      <c r="R72" s="61"/>
      <c r="S72" s="61"/>
      <c r="T72" s="94"/>
    </row>
    <row r="73" spans="1:20" s="93" customFormat="1" ht="15">
      <c r="A73" s="94"/>
      <c r="B73" s="29"/>
      <c r="C73" s="34"/>
      <c r="D73" s="34"/>
      <c r="E73" s="34"/>
      <c r="F73" s="86"/>
      <c r="H73" s="86"/>
      <c r="I73" s="39"/>
      <c r="J73" s="60"/>
      <c r="K73" s="86"/>
      <c r="L73" s="86"/>
      <c r="M73" s="86"/>
      <c r="O73" s="114"/>
      <c r="R73" s="61"/>
      <c r="S73" s="61"/>
      <c r="T73" s="94"/>
    </row>
    <row r="74" spans="1:20" s="90" customFormat="1" ht="15">
      <c r="A74" s="94"/>
      <c r="B74" s="29"/>
      <c r="C74" s="34"/>
      <c r="D74" s="34"/>
      <c r="E74" s="34"/>
      <c r="F74" s="86"/>
      <c r="G74" s="93"/>
      <c r="H74" s="86"/>
      <c r="I74" s="39"/>
      <c r="J74" s="60"/>
      <c r="K74" s="86"/>
      <c r="L74" s="86"/>
      <c r="M74" s="86"/>
      <c r="O74" s="114"/>
      <c r="P74" s="93"/>
      <c r="Q74" s="93"/>
      <c r="T74" s="94"/>
    </row>
    <row r="75" spans="1:20" s="93" customFormat="1" ht="15">
      <c r="A75" s="94"/>
      <c r="B75" s="29"/>
      <c r="C75" s="34"/>
      <c r="D75" s="34"/>
      <c r="E75" s="34"/>
      <c r="F75" s="86"/>
      <c r="H75" s="86"/>
      <c r="I75" s="39"/>
      <c r="J75" s="60"/>
      <c r="K75" s="86"/>
      <c r="L75" s="86"/>
      <c r="M75" s="86"/>
      <c r="O75" s="114"/>
      <c r="T75" s="94"/>
    </row>
    <row r="76" spans="1:20" s="93" customFormat="1" ht="15">
      <c r="A76" s="94"/>
      <c r="B76" s="29"/>
      <c r="C76" s="34"/>
      <c r="D76" s="34"/>
      <c r="E76" s="34"/>
      <c r="F76" s="86"/>
      <c r="G76" s="86"/>
      <c r="H76" s="86"/>
      <c r="I76" s="39"/>
      <c r="J76" s="60"/>
      <c r="K76" s="86"/>
      <c r="L76" s="86"/>
      <c r="M76" s="86"/>
      <c r="O76" s="114"/>
      <c r="T76" s="94"/>
    </row>
    <row r="77" spans="1:20" s="93" customFormat="1" ht="15">
      <c r="A77" s="94"/>
      <c r="B77" s="29"/>
      <c r="C77" s="34"/>
      <c r="D77" s="34"/>
      <c r="E77" s="34"/>
      <c r="F77" s="86"/>
      <c r="G77" s="86"/>
      <c r="H77" s="86"/>
      <c r="I77" s="39"/>
      <c r="J77" s="60"/>
      <c r="K77" s="86"/>
      <c r="L77" s="86"/>
      <c r="M77" s="86"/>
      <c r="O77" s="114"/>
      <c r="T77" s="94"/>
    </row>
    <row r="78" spans="1:20" s="93" customFormat="1" ht="15">
      <c r="A78" s="94"/>
      <c r="B78" s="29"/>
      <c r="C78" s="34"/>
      <c r="D78" s="34"/>
      <c r="E78" s="34"/>
      <c r="F78" s="86"/>
      <c r="G78" s="86"/>
      <c r="H78" s="86"/>
      <c r="I78" s="39"/>
      <c r="J78" s="60"/>
      <c r="K78" s="86"/>
      <c r="L78" s="86"/>
      <c r="M78" s="86"/>
      <c r="O78" s="114"/>
      <c r="T78" s="94"/>
    </row>
    <row r="79" spans="1:20" s="93" customFormat="1" ht="15">
      <c r="A79" s="94"/>
      <c r="B79" s="29"/>
      <c r="C79" s="34"/>
      <c r="D79" s="34"/>
      <c r="E79" s="34"/>
      <c r="F79" s="86"/>
      <c r="G79" s="86"/>
      <c r="H79" s="86"/>
      <c r="I79" s="39"/>
      <c r="J79" s="60"/>
      <c r="K79" s="86"/>
      <c r="L79" s="86"/>
      <c r="M79" s="86"/>
      <c r="O79" s="114"/>
      <c r="T79" s="94"/>
    </row>
    <row r="80" spans="1:20" s="93" customFormat="1" ht="15">
      <c r="A80" s="94"/>
      <c r="B80" s="29"/>
      <c r="C80" s="34"/>
      <c r="D80" s="34"/>
      <c r="E80" s="34"/>
      <c r="F80" s="86"/>
      <c r="G80" s="86"/>
      <c r="H80" s="86"/>
      <c r="I80" s="77"/>
      <c r="J80" s="60"/>
      <c r="K80" s="86"/>
      <c r="L80" s="86"/>
      <c r="M80" s="86"/>
      <c r="O80" s="114"/>
      <c r="T80" s="94"/>
    </row>
    <row r="81" spans="1:20" s="93" customFormat="1" ht="15">
      <c r="A81" s="94"/>
      <c r="B81" s="29"/>
      <c r="C81" s="34"/>
      <c r="D81" s="34"/>
      <c r="E81" s="34"/>
      <c r="F81" s="86"/>
      <c r="G81" s="86"/>
      <c r="H81" s="86"/>
      <c r="I81" s="77"/>
      <c r="J81" s="60"/>
      <c r="K81" s="86"/>
      <c r="L81" s="86"/>
      <c r="M81" s="86"/>
      <c r="O81" s="114"/>
      <c r="P81" s="69"/>
      <c r="T81" s="94"/>
    </row>
    <row r="82" spans="1:20" s="93" customFormat="1" ht="15">
      <c r="A82" s="94"/>
      <c r="B82" s="29">
        <f>A2</f>
        <v>42006</v>
      </c>
      <c r="C82" s="34"/>
      <c r="D82" s="34"/>
      <c r="E82" s="34"/>
      <c r="F82" s="86"/>
      <c r="G82" s="86"/>
      <c r="H82" s="86"/>
      <c r="I82" s="39"/>
      <c r="J82" s="60"/>
      <c r="K82" s="86"/>
      <c r="L82" s="86"/>
      <c r="M82" s="86"/>
      <c r="O82" s="114"/>
      <c r="P82"/>
      <c r="T82" s="94"/>
    </row>
    <row r="83" spans="1:16" s="69" customFormat="1" ht="15">
      <c r="A83" s="94"/>
      <c r="C83" s="34"/>
      <c r="D83" s="34"/>
      <c r="E83" s="34"/>
      <c r="I83" s="39"/>
      <c r="O83" s="114"/>
      <c r="P83"/>
    </row>
    <row r="84" ht="15">
      <c r="A84" s="69"/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98" ht="15">
      <c r="B198" s="29">
        <f>A199</f>
        <v>41740</v>
      </c>
    </row>
    <row r="199" ht="15">
      <c r="A199" s="110">
        <v>41740</v>
      </c>
    </row>
  </sheetData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2"/>
  <sheetViews>
    <sheetView zoomScale="90" zoomScaleNormal="90" workbookViewId="0" topLeftCell="A1">
      <pane ySplit="2" topLeftCell="A3" activePane="bottomLeft" state="frozen"/>
      <selection pane="bottomLeft" activeCell="K112" sqref="K112"/>
    </sheetView>
  </sheetViews>
  <sheetFormatPr defaultColWidth="9.140625" defaultRowHeight="15"/>
  <cols>
    <col min="1" max="1" width="9.140625" style="0" customWidth="1"/>
    <col min="2" max="2" width="15.28125" style="0" customWidth="1"/>
    <col min="3" max="3" width="8.140625" style="0" customWidth="1"/>
    <col min="4" max="4" width="8.00390625" style="0" customWidth="1"/>
    <col min="5" max="5" width="10.00390625" style="0" customWidth="1"/>
    <col min="6" max="6" width="15.57421875" style="0" customWidth="1"/>
    <col min="7" max="7" width="8.28125" style="0" customWidth="1"/>
    <col min="8" max="8" width="10.28125" style="0" customWidth="1"/>
    <col min="9" max="9" width="9.8515625" style="29" customWidth="1"/>
    <col min="10" max="10" width="7.57421875" style="0" customWidth="1"/>
    <col min="11" max="11" width="51.00390625" style="0" customWidth="1"/>
    <col min="12" max="12" width="8.7109375" style="0" customWidth="1"/>
    <col min="13" max="13" width="7.28125" style="0" customWidth="1"/>
    <col min="14" max="14" width="9.00390625" style="0" customWidth="1"/>
    <col min="15" max="15" width="9.28125" style="0" customWidth="1"/>
  </cols>
  <sheetData>
    <row r="1" spans="1:21" ht="30.75" customHeight="1">
      <c r="A1" s="44"/>
      <c r="B1" s="385" t="s">
        <v>99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128"/>
      <c r="P1" s="129"/>
      <c r="Q1" s="129"/>
      <c r="R1" s="129"/>
      <c r="S1" s="128"/>
      <c r="U1" s="35"/>
    </row>
    <row r="2" spans="1:19" ht="1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3" t="s">
        <v>5</v>
      </c>
      <c r="G2" s="7" t="s">
        <v>2</v>
      </c>
      <c r="H2" s="6" t="s">
        <v>6</v>
      </c>
      <c r="I2" s="6" t="s">
        <v>7</v>
      </c>
      <c r="J2" s="8" t="s">
        <v>8</v>
      </c>
      <c r="K2" s="9" t="s">
        <v>9</v>
      </c>
      <c r="L2" s="10" t="s">
        <v>10</v>
      </c>
      <c r="M2" s="11" t="s">
        <v>11</v>
      </c>
      <c r="N2" s="126" t="s">
        <v>12</v>
      </c>
      <c r="O2" s="9" t="s">
        <v>110</v>
      </c>
      <c r="P2" s="9" t="s">
        <v>35</v>
      </c>
      <c r="Q2" s="23" t="s">
        <v>13</v>
      </c>
      <c r="R2" s="23" t="s">
        <v>70</v>
      </c>
      <c r="S2" s="9" t="s">
        <v>103</v>
      </c>
    </row>
    <row r="3" spans="1:22" s="114" customFormat="1" ht="15">
      <c r="A3" s="12" t="s">
        <v>40</v>
      </c>
      <c r="B3" s="65">
        <v>42009.302083333336</v>
      </c>
      <c r="C3" s="14">
        <v>192</v>
      </c>
      <c r="D3" s="15">
        <v>75</v>
      </c>
      <c r="E3" s="15">
        <f aca="true" t="shared" si="0" ref="E3:E66">C3*D3+11</f>
        <v>14411</v>
      </c>
      <c r="F3" s="13">
        <v>42017.32430555556</v>
      </c>
      <c r="G3" s="14">
        <v>188.32</v>
      </c>
      <c r="H3" s="15">
        <f aca="true" t="shared" si="1" ref="H3:H66">G3*D3</f>
        <v>14124</v>
      </c>
      <c r="I3" s="16">
        <f aca="true" t="shared" si="2" ref="I3:I66">H3-E3</f>
        <v>-287</v>
      </c>
      <c r="J3" s="19">
        <f aca="true" t="shared" si="3" ref="J3:J29">I3/E3</f>
        <v>-0.019915342446742073</v>
      </c>
      <c r="K3" s="95" t="s">
        <v>96</v>
      </c>
      <c r="L3" s="97"/>
      <c r="M3" s="20">
        <f aca="true" t="shared" si="4" ref="M3:M66">C3*0.93</f>
        <v>178.56</v>
      </c>
      <c r="N3" s="118">
        <v>246.71</v>
      </c>
      <c r="O3" s="121">
        <v>42072</v>
      </c>
      <c r="P3" s="116" t="s">
        <v>40</v>
      </c>
      <c r="Q3" s="117"/>
      <c r="R3" s="118"/>
      <c r="S3" s="118"/>
      <c r="T3" s="116"/>
      <c r="V3" s="120"/>
    </row>
    <row r="4" spans="1:22" s="114" customFormat="1" ht="15">
      <c r="A4" s="12" t="s">
        <v>40</v>
      </c>
      <c r="B4" s="65">
        <v>42011.45138888889</v>
      </c>
      <c r="C4" s="14">
        <v>197</v>
      </c>
      <c r="D4" s="15">
        <v>45</v>
      </c>
      <c r="E4" s="15">
        <f t="shared" si="0"/>
        <v>8876</v>
      </c>
      <c r="F4" s="13">
        <v>42017.32430555556</v>
      </c>
      <c r="G4" s="14">
        <v>188.32</v>
      </c>
      <c r="H4" s="15">
        <f t="shared" si="1"/>
        <v>8474.4</v>
      </c>
      <c r="I4" s="16">
        <f t="shared" si="2"/>
        <v>-401.60000000000036</v>
      </c>
      <c r="J4" s="19">
        <f t="shared" si="3"/>
        <v>-0.04524560612888693</v>
      </c>
      <c r="K4" s="95" t="s">
        <v>97</v>
      </c>
      <c r="L4" s="97"/>
      <c r="M4" s="20">
        <f t="shared" si="4"/>
        <v>183.21</v>
      </c>
      <c r="N4" s="118">
        <v>246.71</v>
      </c>
      <c r="O4" s="116"/>
      <c r="P4" s="116" t="s">
        <v>40</v>
      </c>
      <c r="Q4" s="117"/>
      <c r="R4" s="118"/>
      <c r="S4" s="117"/>
      <c r="T4" s="116"/>
      <c r="V4" s="120"/>
    </row>
    <row r="5" spans="1:22" s="114" customFormat="1" ht="15">
      <c r="A5" s="12" t="s">
        <v>39</v>
      </c>
      <c r="B5" s="65">
        <v>42011.27777777778</v>
      </c>
      <c r="C5" s="14">
        <v>55</v>
      </c>
      <c r="D5" s="15">
        <v>260</v>
      </c>
      <c r="E5" s="15">
        <f t="shared" si="0"/>
        <v>14311</v>
      </c>
      <c r="F5" s="13">
        <v>42019.53680555556</v>
      </c>
      <c r="G5" s="14">
        <v>53.71</v>
      </c>
      <c r="H5" s="15">
        <f t="shared" si="1"/>
        <v>13964.6</v>
      </c>
      <c r="I5" s="16">
        <f t="shared" si="2"/>
        <v>-346.39999999999964</v>
      </c>
      <c r="J5" s="19">
        <f t="shared" si="3"/>
        <v>-0.02420515687233594</v>
      </c>
      <c r="K5" s="95" t="s">
        <v>104</v>
      </c>
      <c r="L5" s="97">
        <v>54.036</v>
      </c>
      <c r="M5" s="41">
        <f t="shared" si="4"/>
        <v>51.150000000000006</v>
      </c>
      <c r="N5" s="118">
        <v>72.5</v>
      </c>
      <c r="O5" s="125">
        <v>42069</v>
      </c>
      <c r="P5" s="116" t="s">
        <v>39</v>
      </c>
      <c r="Q5" s="117">
        <v>63.2</v>
      </c>
      <c r="R5" s="118">
        <f>Q5*0.855</f>
        <v>54.036</v>
      </c>
      <c r="S5" s="117">
        <f>1.11*C5</f>
        <v>61.050000000000004</v>
      </c>
      <c r="T5" s="116"/>
      <c r="V5" s="120"/>
    </row>
    <row r="6" spans="1:22" s="114" customFormat="1" ht="15">
      <c r="A6" s="12" t="s">
        <v>39</v>
      </c>
      <c r="B6" s="65">
        <v>42011.48333333333</v>
      </c>
      <c r="C6" s="14">
        <v>56.8</v>
      </c>
      <c r="D6" s="15">
        <v>150</v>
      </c>
      <c r="E6" s="15">
        <f t="shared" si="0"/>
        <v>8531</v>
      </c>
      <c r="F6" s="13">
        <v>42019.53680555556</v>
      </c>
      <c r="G6" s="14">
        <v>53.71</v>
      </c>
      <c r="H6" s="15">
        <f t="shared" si="1"/>
        <v>8056.5</v>
      </c>
      <c r="I6" s="16">
        <f t="shared" si="2"/>
        <v>-474.5</v>
      </c>
      <c r="J6" s="19">
        <f t="shared" si="3"/>
        <v>-0.05562067752901184</v>
      </c>
      <c r="K6" s="95" t="s">
        <v>105</v>
      </c>
      <c r="L6" s="97">
        <v>54.036</v>
      </c>
      <c r="M6" s="41">
        <f t="shared" si="4"/>
        <v>52.824</v>
      </c>
      <c r="N6" s="118">
        <v>72.5</v>
      </c>
      <c r="O6" s="116"/>
      <c r="P6" s="116" t="s">
        <v>39</v>
      </c>
      <c r="Q6" s="117"/>
      <c r="R6" s="118"/>
      <c r="S6" s="117"/>
      <c r="T6" s="116"/>
      <c r="V6" s="120"/>
    </row>
    <row r="7" spans="1:22" s="114" customFormat="1" ht="15">
      <c r="A7" s="12" t="s">
        <v>39</v>
      </c>
      <c r="B7" s="65">
        <v>42011.4875</v>
      </c>
      <c r="C7" s="14">
        <v>57.68</v>
      </c>
      <c r="D7" s="15">
        <v>100</v>
      </c>
      <c r="E7" s="15">
        <f t="shared" si="0"/>
        <v>5779</v>
      </c>
      <c r="F7" s="13">
        <v>42019.53680555556</v>
      </c>
      <c r="G7" s="14">
        <v>53.71</v>
      </c>
      <c r="H7" s="15">
        <f t="shared" si="1"/>
        <v>5371</v>
      </c>
      <c r="I7" s="16">
        <f t="shared" si="2"/>
        <v>-408</v>
      </c>
      <c r="J7" s="19">
        <f t="shared" si="3"/>
        <v>-0.07060044990482782</v>
      </c>
      <c r="K7" s="95" t="s">
        <v>106</v>
      </c>
      <c r="L7" s="97">
        <v>54.036</v>
      </c>
      <c r="M7" s="41">
        <f t="shared" si="4"/>
        <v>53.6424</v>
      </c>
      <c r="N7" s="118">
        <v>72.5</v>
      </c>
      <c r="O7" s="116"/>
      <c r="P7" s="116" t="s">
        <v>39</v>
      </c>
      <c r="Q7" s="117"/>
      <c r="R7" s="118"/>
      <c r="S7" s="117"/>
      <c r="T7" s="116"/>
      <c r="V7" s="120"/>
    </row>
    <row r="8" spans="1:20" s="114" customFormat="1" ht="15">
      <c r="A8" s="12" t="s">
        <v>50</v>
      </c>
      <c r="B8" s="65">
        <v>42011.50555555556</v>
      </c>
      <c r="C8" s="14">
        <v>691</v>
      </c>
      <c r="D8" s="15">
        <v>20</v>
      </c>
      <c r="E8" s="15">
        <f t="shared" si="0"/>
        <v>13831</v>
      </c>
      <c r="F8" s="13">
        <v>42038.56041666667</v>
      </c>
      <c r="G8" s="14">
        <v>683.5</v>
      </c>
      <c r="H8" s="15">
        <f t="shared" si="1"/>
        <v>13670</v>
      </c>
      <c r="I8" s="16">
        <f t="shared" si="2"/>
        <v>-161</v>
      </c>
      <c r="J8" s="19">
        <f t="shared" si="3"/>
        <v>-0.011640517677680573</v>
      </c>
      <c r="K8" s="95" t="s">
        <v>124</v>
      </c>
      <c r="L8" s="119"/>
      <c r="M8" s="20">
        <f t="shared" si="4"/>
        <v>642.63</v>
      </c>
      <c r="N8" s="118">
        <v>873</v>
      </c>
      <c r="O8" s="121">
        <v>42068</v>
      </c>
      <c r="P8" s="116" t="s">
        <v>50</v>
      </c>
      <c r="Q8" s="117"/>
      <c r="R8" s="118"/>
      <c r="S8" s="117">
        <f>1.11*C8</f>
        <v>767.0100000000001</v>
      </c>
      <c r="T8" s="116"/>
    </row>
    <row r="9" spans="1:20" s="114" customFormat="1" ht="15">
      <c r="A9" s="12" t="s">
        <v>50</v>
      </c>
      <c r="B9" s="65">
        <v>42012.27291666667</v>
      </c>
      <c r="C9" s="14">
        <v>707.47</v>
      </c>
      <c r="D9" s="15">
        <v>12</v>
      </c>
      <c r="E9" s="15">
        <f t="shared" si="0"/>
        <v>8500.64</v>
      </c>
      <c r="F9" s="13">
        <v>42038.56041666667</v>
      </c>
      <c r="G9" s="14">
        <v>683.5</v>
      </c>
      <c r="H9" s="15">
        <f t="shared" si="1"/>
        <v>8202</v>
      </c>
      <c r="I9" s="16">
        <f t="shared" si="2"/>
        <v>-298.6399999999994</v>
      </c>
      <c r="J9" s="19">
        <f t="shared" si="3"/>
        <v>-0.03513147245383871</v>
      </c>
      <c r="K9" s="95" t="s">
        <v>125</v>
      </c>
      <c r="L9" s="119"/>
      <c r="M9" s="20">
        <f t="shared" si="4"/>
        <v>657.9471000000001</v>
      </c>
      <c r="N9" s="118">
        <v>873</v>
      </c>
      <c r="O9" s="116"/>
      <c r="P9" s="116" t="s">
        <v>50</v>
      </c>
      <c r="Q9" s="117"/>
      <c r="R9" s="118"/>
      <c r="S9" s="117"/>
      <c r="T9" s="116"/>
    </row>
    <row r="10" spans="1:20" s="114" customFormat="1" ht="15">
      <c r="A10" s="12" t="s">
        <v>50</v>
      </c>
      <c r="B10" s="65">
        <v>42012.28472222222</v>
      </c>
      <c r="C10" s="14">
        <v>722.5</v>
      </c>
      <c r="D10" s="15">
        <v>8</v>
      </c>
      <c r="E10" s="15">
        <f t="shared" si="0"/>
        <v>5791</v>
      </c>
      <c r="F10" s="13">
        <v>42038.56041666667</v>
      </c>
      <c r="G10" s="14">
        <v>683.5</v>
      </c>
      <c r="H10" s="15">
        <f t="shared" si="1"/>
        <v>5468</v>
      </c>
      <c r="I10" s="16">
        <f t="shared" si="2"/>
        <v>-323</v>
      </c>
      <c r="J10" s="19">
        <f t="shared" si="3"/>
        <v>-0.055776204455189084</v>
      </c>
      <c r="K10" s="95" t="s">
        <v>126</v>
      </c>
      <c r="L10" s="119"/>
      <c r="M10" s="20">
        <f t="shared" si="4"/>
        <v>671.9250000000001</v>
      </c>
      <c r="N10" s="118">
        <v>873</v>
      </c>
      <c r="O10" s="116"/>
      <c r="P10" s="116" t="s">
        <v>50</v>
      </c>
      <c r="Q10" s="117"/>
      <c r="R10" s="118"/>
      <c r="S10" s="117"/>
      <c r="T10" s="116"/>
    </row>
    <row r="11" spans="1:20" s="114" customFormat="1" ht="15">
      <c r="A11" s="12" t="s">
        <v>58</v>
      </c>
      <c r="B11" s="65">
        <v>42020.27291666667</v>
      </c>
      <c r="C11" s="14">
        <v>40.8</v>
      </c>
      <c r="D11" s="15">
        <v>350</v>
      </c>
      <c r="E11" s="15">
        <f t="shared" si="0"/>
        <v>14290.999999999998</v>
      </c>
      <c r="F11" s="13">
        <v>42073.27847222222</v>
      </c>
      <c r="G11" s="14">
        <v>44.7</v>
      </c>
      <c r="H11" s="15">
        <f t="shared" si="1"/>
        <v>15645.000000000002</v>
      </c>
      <c r="I11" s="16">
        <f t="shared" si="2"/>
        <v>1354.0000000000036</v>
      </c>
      <c r="J11" s="19">
        <f t="shared" si="3"/>
        <v>0.09474494437058315</v>
      </c>
      <c r="K11" s="95" t="s">
        <v>157</v>
      </c>
      <c r="L11" s="119">
        <v>45.29</v>
      </c>
      <c r="M11" s="41">
        <f t="shared" si="4"/>
        <v>37.944</v>
      </c>
      <c r="N11" s="118">
        <v>56.56</v>
      </c>
      <c r="O11" s="121">
        <v>42096</v>
      </c>
      <c r="P11" s="116" t="s">
        <v>58</v>
      </c>
      <c r="Q11" s="117">
        <v>55.86</v>
      </c>
      <c r="R11" s="118">
        <f>Q11*0.855</f>
        <v>47.7603</v>
      </c>
      <c r="S11" s="117">
        <f>1.11*C11</f>
        <v>45.288000000000004</v>
      </c>
      <c r="T11" s="116"/>
    </row>
    <row r="12" spans="1:20" s="114" customFormat="1" ht="15">
      <c r="A12" s="12" t="s">
        <v>58</v>
      </c>
      <c r="B12" s="65">
        <v>42024.35486111111</v>
      </c>
      <c r="C12" s="14">
        <v>42.9</v>
      </c>
      <c r="D12" s="15">
        <v>200</v>
      </c>
      <c r="E12" s="15">
        <f t="shared" si="0"/>
        <v>8591</v>
      </c>
      <c r="F12" s="13">
        <v>42073.27847222222</v>
      </c>
      <c r="G12" s="14">
        <v>44.7</v>
      </c>
      <c r="H12" s="15">
        <f t="shared" si="1"/>
        <v>8940</v>
      </c>
      <c r="I12" s="16">
        <f t="shared" si="2"/>
        <v>349</v>
      </c>
      <c r="J12" s="19">
        <f t="shared" si="3"/>
        <v>0.04062390874170644</v>
      </c>
      <c r="K12" s="95" t="s">
        <v>158</v>
      </c>
      <c r="L12" s="119">
        <v>45.29</v>
      </c>
      <c r="M12" s="41">
        <f t="shared" si="4"/>
        <v>39.897</v>
      </c>
      <c r="N12" s="118">
        <v>56.56</v>
      </c>
      <c r="O12" s="116"/>
      <c r="P12" s="116" t="s">
        <v>58</v>
      </c>
      <c r="Q12" s="117"/>
      <c r="R12" s="118"/>
      <c r="S12" s="117"/>
      <c r="T12" s="116"/>
    </row>
    <row r="13" spans="1:20" s="114" customFormat="1" ht="15">
      <c r="A13" s="12" t="s">
        <v>58</v>
      </c>
      <c r="B13" s="65">
        <v>42039.3375</v>
      </c>
      <c r="C13" s="14">
        <v>43.9</v>
      </c>
      <c r="D13" s="15">
        <v>130</v>
      </c>
      <c r="E13" s="15">
        <f t="shared" si="0"/>
        <v>5718</v>
      </c>
      <c r="F13" s="13">
        <v>42073.27847222222</v>
      </c>
      <c r="G13" s="14">
        <v>44.7</v>
      </c>
      <c r="H13" s="15">
        <f t="shared" si="1"/>
        <v>5811</v>
      </c>
      <c r="I13" s="16">
        <f t="shared" si="2"/>
        <v>93</v>
      </c>
      <c r="J13" s="19">
        <f t="shared" si="3"/>
        <v>0.01626442812172088</v>
      </c>
      <c r="K13" s="95" t="s">
        <v>159</v>
      </c>
      <c r="L13" s="119">
        <v>45.29</v>
      </c>
      <c r="M13" s="41">
        <f t="shared" si="4"/>
        <v>40.827</v>
      </c>
      <c r="N13" s="118">
        <v>56.56</v>
      </c>
      <c r="O13" s="116"/>
      <c r="P13" s="116" t="s">
        <v>58</v>
      </c>
      <c r="Q13" s="117"/>
      <c r="R13" s="118"/>
      <c r="S13" s="117"/>
      <c r="T13" s="116"/>
    </row>
    <row r="14" spans="1:20" s="114" customFormat="1" ht="15">
      <c r="A14" s="12" t="s">
        <v>58</v>
      </c>
      <c r="B14" s="65">
        <v>42061.271527777775</v>
      </c>
      <c r="C14" s="14">
        <v>49.85</v>
      </c>
      <c r="D14" s="15">
        <v>130</v>
      </c>
      <c r="E14" s="15">
        <f t="shared" si="0"/>
        <v>6491.5</v>
      </c>
      <c r="F14" s="13">
        <v>42073.27847222222</v>
      </c>
      <c r="G14" s="14">
        <v>44.7</v>
      </c>
      <c r="H14" s="15">
        <f t="shared" si="1"/>
        <v>5811</v>
      </c>
      <c r="I14" s="16">
        <f t="shared" si="2"/>
        <v>-680.5</v>
      </c>
      <c r="J14" s="19">
        <f t="shared" si="3"/>
        <v>-0.1048293922822152</v>
      </c>
      <c r="K14" s="95" t="s">
        <v>163</v>
      </c>
      <c r="L14" s="119"/>
      <c r="M14" s="20">
        <f t="shared" si="4"/>
        <v>46.3605</v>
      </c>
      <c r="N14" s="118">
        <v>56.56</v>
      </c>
      <c r="O14" s="116"/>
      <c r="P14" s="116" t="s">
        <v>58</v>
      </c>
      <c r="Q14" s="117"/>
      <c r="R14" s="118"/>
      <c r="S14" s="117"/>
      <c r="T14" s="116"/>
    </row>
    <row r="15" spans="1:22" s="114" customFormat="1" ht="15">
      <c r="A15" s="12" t="s">
        <v>60</v>
      </c>
      <c r="B15" s="65">
        <v>42012.27569444444</v>
      </c>
      <c r="C15" s="14">
        <v>75.9</v>
      </c>
      <c r="D15" s="15">
        <v>190</v>
      </c>
      <c r="E15" s="15">
        <f t="shared" si="0"/>
        <v>14432.000000000002</v>
      </c>
      <c r="F15" s="13">
        <v>42076.53333333333</v>
      </c>
      <c r="G15" s="14">
        <v>104.85</v>
      </c>
      <c r="H15" s="15">
        <f t="shared" si="1"/>
        <v>19921.5</v>
      </c>
      <c r="I15" s="16">
        <f t="shared" si="2"/>
        <v>5489.499999999998</v>
      </c>
      <c r="J15" s="19">
        <f t="shared" si="3"/>
        <v>0.38037001108647434</v>
      </c>
      <c r="K15" s="95" t="s">
        <v>153</v>
      </c>
      <c r="L15" s="119">
        <v>86.24</v>
      </c>
      <c r="M15" s="41">
        <f t="shared" si="4"/>
        <v>70.587</v>
      </c>
      <c r="N15" s="118">
        <v>97.93</v>
      </c>
      <c r="O15" s="121">
        <v>42073</v>
      </c>
      <c r="P15" s="116" t="s">
        <v>60</v>
      </c>
      <c r="Q15" s="117">
        <v>100.86</v>
      </c>
      <c r="R15" s="118">
        <f>Q15*0.855</f>
        <v>86.2353</v>
      </c>
      <c r="S15" s="117">
        <f>1.11*C15</f>
        <v>84.24900000000001</v>
      </c>
      <c r="T15" s="116"/>
      <c r="V15" s="131"/>
    </row>
    <row r="16" spans="1:22" s="114" customFormat="1" ht="15">
      <c r="A16" s="12" t="s">
        <v>60</v>
      </c>
      <c r="B16" s="65">
        <v>42012.520833333336</v>
      </c>
      <c r="C16" s="14">
        <v>78</v>
      </c>
      <c r="D16" s="15">
        <v>110</v>
      </c>
      <c r="E16" s="15">
        <f t="shared" si="0"/>
        <v>8591</v>
      </c>
      <c r="F16" s="13">
        <v>42076.53333333333</v>
      </c>
      <c r="G16" s="14">
        <v>104.85</v>
      </c>
      <c r="H16" s="15">
        <f t="shared" si="1"/>
        <v>11533.5</v>
      </c>
      <c r="I16" s="16">
        <f t="shared" si="2"/>
        <v>2942.5</v>
      </c>
      <c r="J16" s="19">
        <f t="shared" si="3"/>
        <v>0.34250960307298334</v>
      </c>
      <c r="K16" s="95" t="s">
        <v>154</v>
      </c>
      <c r="L16" s="119">
        <v>86.24</v>
      </c>
      <c r="M16" s="41">
        <f t="shared" si="4"/>
        <v>72.54</v>
      </c>
      <c r="N16" s="118">
        <v>97.93</v>
      </c>
      <c r="P16" s="116" t="s">
        <v>60</v>
      </c>
      <c r="Q16" s="117"/>
      <c r="R16" s="118"/>
      <c r="S16" s="117"/>
      <c r="T16" s="116"/>
      <c r="V16" s="131"/>
    </row>
    <row r="17" spans="1:20" s="114" customFormat="1" ht="15">
      <c r="A17" s="12" t="s">
        <v>60</v>
      </c>
      <c r="B17" s="65">
        <v>42013.274305555555</v>
      </c>
      <c r="C17" s="14">
        <v>79.2</v>
      </c>
      <c r="D17" s="15">
        <v>70</v>
      </c>
      <c r="E17" s="15">
        <f t="shared" si="0"/>
        <v>5555</v>
      </c>
      <c r="F17" s="13">
        <v>42076.53333333333</v>
      </c>
      <c r="G17" s="14">
        <v>104.85</v>
      </c>
      <c r="H17" s="15">
        <f t="shared" si="1"/>
        <v>7339.5</v>
      </c>
      <c r="I17" s="16">
        <f t="shared" si="2"/>
        <v>1784.5</v>
      </c>
      <c r="J17" s="19">
        <f t="shared" si="3"/>
        <v>0.32124212421242127</v>
      </c>
      <c r="K17" s="95" t="s">
        <v>155</v>
      </c>
      <c r="L17" s="119">
        <v>86.24</v>
      </c>
      <c r="M17" s="41">
        <f t="shared" si="4"/>
        <v>73.656</v>
      </c>
      <c r="N17" s="118">
        <v>97.93</v>
      </c>
      <c r="O17" s="116"/>
      <c r="P17" s="116" t="s">
        <v>60</v>
      </c>
      <c r="Q17" s="117"/>
      <c r="R17" s="118"/>
      <c r="S17" s="117"/>
      <c r="T17" s="116"/>
    </row>
    <row r="18" spans="1:20" s="114" customFormat="1" ht="15">
      <c r="A18" s="12" t="s">
        <v>60</v>
      </c>
      <c r="B18" s="65">
        <v>42065.23611111111</v>
      </c>
      <c r="C18" s="14">
        <v>95.05</v>
      </c>
      <c r="D18" s="15">
        <v>70</v>
      </c>
      <c r="E18" s="15">
        <f t="shared" si="0"/>
        <v>6664.5</v>
      </c>
      <c r="F18" s="13">
        <v>42076.53333333333</v>
      </c>
      <c r="G18" s="14">
        <v>104.85</v>
      </c>
      <c r="H18" s="15">
        <f t="shared" si="1"/>
        <v>7339.5</v>
      </c>
      <c r="I18" s="16">
        <f t="shared" si="2"/>
        <v>675</v>
      </c>
      <c r="J18" s="19">
        <f t="shared" si="3"/>
        <v>0.1012829169480081</v>
      </c>
      <c r="K18" s="95" t="s">
        <v>156</v>
      </c>
      <c r="L18" s="119">
        <v>86.24</v>
      </c>
      <c r="M18" s="20">
        <f t="shared" si="4"/>
        <v>88.3965</v>
      </c>
      <c r="N18" s="118">
        <v>97.93</v>
      </c>
      <c r="O18" s="116"/>
      <c r="P18" s="116" t="s">
        <v>60</v>
      </c>
      <c r="Q18" s="117"/>
      <c r="R18" s="118"/>
      <c r="S18" s="117"/>
      <c r="T18" s="116"/>
    </row>
    <row r="19" spans="1:22" s="114" customFormat="1" ht="15">
      <c r="A19" s="12" t="s">
        <v>64</v>
      </c>
      <c r="B19" s="65">
        <v>42011.27291666667</v>
      </c>
      <c r="C19" s="14">
        <v>70.75</v>
      </c>
      <c r="D19" s="15">
        <v>200</v>
      </c>
      <c r="E19" s="15">
        <f t="shared" si="0"/>
        <v>14161</v>
      </c>
      <c r="F19" s="13">
        <v>42081.51666666667</v>
      </c>
      <c r="G19" s="14">
        <v>97.25</v>
      </c>
      <c r="H19" s="15">
        <f t="shared" si="1"/>
        <v>19450</v>
      </c>
      <c r="I19" s="16">
        <f t="shared" si="2"/>
        <v>5289</v>
      </c>
      <c r="J19" s="19">
        <f t="shared" si="3"/>
        <v>0.3734905726996681</v>
      </c>
      <c r="K19" s="72" t="s">
        <v>176</v>
      </c>
      <c r="L19" s="97">
        <v>79.93</v>
      </c>
      <c r="M19" s="41">
        <f t="shared" si="4"/>
        <v>65.7975</v>
      </c>
      <c r="N19" s="118">
        <v>93.71</v>
      </c>
      <c r="O19" s="121">
        <v>42081</v>
      </c>
      <c r="P19" s="116" t="s">
        <v>79</v>
      </c>
      <c r="Q19" s="117">
        <v>93.48</v>
      </c>
      <c r="R19" s="118">
        <f>Q19*0.855</f>
        <v>79.9254</v>
      </c>
      <c r="S19" s="117">
        <f>1.11*C19</f>
        <v>78.53250000000001</v>
      </c>
      <c r="T19" s="116"/>
      <c r="V19" s="131"/>
    </row>
    <row r="20" spans="1:22" s="114" customFormat="1" ht="15">
      <c r="A20" s="12" t="s">
        <v>64</v>
      </c>
      <c r="B20" s="65">
        <v>42012.27847222222</v>
      </c>
      <c r="C20" s="14">
        <v>72.34</v>
      </c>
      <c r="D20" s="15">
        <v>120</v>
      </c>
      <c r="E20" s="15">
        <f t="shared" si="0"/>
        <v>8691.800000000001</v>
      </c>
      <c r="F20" s="13">
        <v>42081.51666666667</v>
      </c>
      <c r="G20" s="14">
        <v>97.25</v>
      </c>
      <c r="H20" s="15">
        <f t="shared" si="1"/>
        <v>11670</v>
      </c>
      <c r="I20" s="16">
        <f t="shared" si="2"/>
        <v>2978.199999999999</v>
      </c>
      <c r="J20" s="19">
        <f t="shared" si="3"/>
        <v>0.34264479164269757</v>
      </c>
      <c r="K20" s="95" t="s">
        <v>177</v>
      </c>
      <c r="L20" s="97">
        <v>79.93</v>
      </c>
      <c r="M20" s="41">
        <f t="shared" si="4"/>
        <v>67.2762</v>
      </c>
      <c r="N20" s="118">
        <v>93.71</v>
      </c>
      <c r="O20" s="116"/>
      <c r="P20" s="116" t="s">
        <v>79</v>
      </c>
      <c r="Q20" s="117"/>
      <c r="R20" s="118"/>
      <c r="S20" s="117"/>
      <c r="T20" s="116"/>
      <c r="V20" s="131"/>
    </row>
    <row r="21" spans="1:22" s="114" customFormat="1" ht="15">
      <c r="A21" s="12" t="s">
        <v>64</v>
      </c>
      <c r="B21" s="65">
        <v>42024.27291666667</v>
      </c>
      <c r="C21" s="14">
        <v>75.2</v>
      </c>
      <c r="D21" s="15">
        <v>80</v>
      </c>
      <c r="E21" s="15">
        <f t="shared" si="0"/>
        <v>6027</v>
      </c>
      <c r="F21" s="13">
        <v>42081.51666666667</v>
      </c>
      <c r="G21" s="14">
        <v>97.25</v>
      </c>
      <c r="H21" s="15">
        <f t="shared" si="1"/>
        <v>7780</v>
      </c>
      <c r="I21" s="16">
        <f t="shared" si="2"/>
        <v>1753</v>
      </c>
      <c r="J21" s="19">
        <f t="shared" si="3"/>
        <v>0.290857806537249</v>
      </c>
      <c r="K21" s="95" t="s">
        <v>178</v>
      </c>
      <c r="L21" s="97">
        <v>79.93</v>
      </c>
      <c r="M21" s="41">
        <f t="shared" si="4"/>
        <v>69.936</v>
      </c>
      <c r="N21" s="118">
        <v>93.71</v>
      </c>
      <c r="O21" s="116"/>
      <c r="P21" s="116" t="s">
        <v>79</v>
      </c>
      <c r="Q21" s="117"/>
      <c r="R21" s="118"/>
      <c r="S21" s="117"/>
      <c r="T21" s="116"/>
      <c r="V21" s="131"/>
    </row>
    <row r="22" spans="1:22" s="114" customFormat="1" ht="15">
      <c r="A22" s="12" t="s">
        <v>64</v>
      </c>
      <c r="B22" s="65">
        <v>42052.277083333334</v>
      </c>
      <c r="C22" s="14">
        <v>81.6</v>
      </c>
      <c r="D22" s="15">
        <v>80</v>
      </c>
      <c r="E22" s="15">
        <f t="shared" si="0"/>
        <v>6539</v>
      </c>
      <c r="F22" s="13">
        <v>42081.51666666667</v>
      </c>
      <c r="G22" s="14">
        <v>97.25</v>
      </c>
      <c r="H22" s="15">
        <f t="shared" si="1"/>
        <v>7780</v>
      </c>
      <c r="I22" s="16">
        <f t="shared" si="2"/>
        <v>1241</v>
      </c>
      <c r="J22" s="19">
        <f t="shared" si="3"/>
        <v>0.18978437069888363</v>
      </c>
      <c r="K22" s="95" t="s">
        <v>179</v>
      </c>
      <c r="L22" s="97">
        <v>79.93</v>
      </c>
      <c r="M22" s="41">
        <f t="shared" si="4"/>
        <v>75.888</v>
      </c>
      <c r="N22" s="118">
        <v>93.71</v>
      </c>
      <c r="O22" s="116"/>
      <c r="P22" s="116" t="s">
        <v>79</v>
      </c>
      <c r="Q22" s="117"/>
      <c r="R22" s="118"/>
      <c r="S22" s="117"/>
      <c r="T22" s="116"/>
      <c r="V22" s="131"/>
    </row>
    <row r="23" spans="1:22" s="114" customFormat="1" ht="15">
      <c r="A23" s="12" t="s">
        <v>79</v>
      </c>
      <c r="B23" s="65">
        <v>42058.27361111111</v>
      </c>
      <c r="C23" s="14">
        <v>85.2</v>
      </c>
      <c r="D23" s="15">
        <v>100</v>
      </c>
      <c r="E23" s="15">
        <f t="shared" si="0"/>
        <v>8531</v>
      </c>
      <c r="F23" s="13">
        <v>42081.51666666667</v>
      </c>
      <c r="G23" s="14">
        <v>97.25</v>
      </c>
      <c r="H23" s="15">
        <f t="shared" si="1"/>
        <v>9725</v>
      </c>
      <c r="I23" s="16">
        <f t="shared" si="2"/>
        <v>1194</v>
      </c>
      <c r="J23" s="19">
        <f t="shared" si="3"/>
        <v>0.13996014535224474</v>
      </c>
      <c r="K23" s="95" t="s">
        <v>180</v>
      </c>
      <c r="L23" s="97">
        <v>79.93</v>
      </c>
      <c r="M23" s="41">
        <f t="shared" si="4"/>
        <v>79.236</v>
      </c>
      <c r="N23" s="118">
        <v>93.71</v>
      </c>
      <c r="O23" s="116"/>
      <c r="P23" s="116" t="s">
        <v>79</v>
      </c>
      <c r="Q23" s="117"/>
      <c r="R23" s="118"/>
      <c r="S23" s="117"/>
      <c r="T23" s="116"/>
      <c r="V23" s="131"/>
    </row>
    <row r="24" spans="1:20" s="114" customFormat="1" ht="15">
      <c r="A24" s="12" t="s">
        <v>73</v>
      </c>
      <c r="B24" s="65">
        <v>42017.27847222222</v>
      </c>
      <c r="C24" s="14">
        <v>21.2</v>
      </c>
      <c r="D24" s="15">
        <v>680</v>
      </c>
      <c r="E24" s="15">
        <f t="shared" si="0"/>
        <v>14427</v>
      </c>
      <c r="F24" s="13">
        <v>42086.27291666667</v>
      </c>
      <c r="G24" s="14">
        <v>26.7</v>
      </c>
      <c r="H24" s="15">
        <f t="shared" si="1"/>
        <v>18156</v>
      </c>
      <c r="I24" s="16">
        <f t="shared" si="2"/>
        <v>3729</v>
      </c>
      <c r="J24" s="19">
        <f t="shared" si="3"/>
        <v>0.25847369515491786</v>
      </c>
      <c r="K24" s="72" t="s">
        <v>193</v>
      </c>
      <c r="L24" s="119">
        <v>22.63</v>
      </c>
      <c r="M24" s="41">
        <f t="shared" si="4"/>
        <v>19.716</v>
      </c>
      <c r="N24" s="118">
        <v>26.43</v>
      </c>
      <c r="O24" s="121">
        <v>42080</v>
      </c>
      <c r="P24" s="116" t="s">
        <v>73</v>
      </c>
      <c r="Q24" s="117">
        <v>26.47</v>
      </c>
      <c r="R24" s="118">
        <f>Q24*0.855</f>
        <v>22.63185</v>
      </c>
      <c r="S24" s="117">
        <f>1.11*C24</f>
        <v>23.532</v>
      </c>
      <c r="T24" s="116"/>
    </row>
    <row r="25" spans="1:20" s="114" customFormat="1" ht="15">
      <c r="A25" s="12" t="s">
        <v>73</v>
      </c>
      <c r="B25" s="65">
        <v>42020.5375</v>
      </c>
      <c r="C25" s="14">
        <v>21.73</v>
      </c>
      <c r="D25" s="15">
        <v>400</v>
      </c>
      <c r="E25" s="15">
        <f t="shared" si="0"/>
        <v>8703</v>
      </c>
      <c r="F25" s="13">
        <v>42086.27291666667</v>
      </c>
      <c r="G25" s="14">
        <v>26.7</v>
      </c>
      <c r="H25" s="15">
        <f t="shared" si="1"/>
        <v>10680</v>
      </c>
      <c r="I25" s="16">
        <f t="shared" si="2"/>
        <v>1977</v>
      </c>
      <c r="J25" s="19">
        <f t="shared" si="3"/>
        <v>0.22716304722509478</v>
      </c>
      <c r="K25" s="95" t="s">
        <v>194</v>
      </c>
      <c r="L25" s="119">
        <v>22.63</v>
      </c>
      <c r="M25" s="41">
        <f t="shared" si="4"/>
        <v>20.2089</v>
      </c>
      <c r="N25" s="118">
        <v>26.43</v>
      </c>
      <c r="O25" s="116"/>
      <c r="P25" s="116" t="s">
        <v>73</v>
      </c>
      <c r="Q25" s="117"/>
      <c r="R25" s="118"/>
      <c r="S25" s="117"/>
      <c r="T25" s="116"/>
    </row>
    <row r="26" spans="1:20" s="114" customFormat="1" ht="15">
      <c r="A26" s="12" t="s">
        <v>73</v>
      </c>
      <c r="B26" s="65">
        <v>42024.39791666667</v>
      </c>
      <c r="C26" s="14">
        <v>22.2</v>
      </c>
      <c r="D26" s="15">
        <v>260</v>
      </c>
      <c r="E26" s="15">
        <f t="shared" si="0"/>
        <v>5783</v>
      </c>
      <c r="F26" s="13">
        <v>42086.27291666667</v>
      </c>
      <c r="G26" s="14">
        <v>26.7</v>
      </c>
      <c r="H26" s="15">
        <f t="shared" si="1"/>
        <v>6942</v>
      </c>
      <c r="I26" s="16">
        <f t="shared" si="2"/>
        <v>1159</v>
      </c>
      <c r="J26" s="19">
        <f t="shared" si="3"/>
        <v>0.20041500951063462</v>
      </c>
      <c r="K26" s="95" t="s">
        <v>195</v>
      </c>
      <c r="L26" s="119">
        <v>22.63</v>
      </c>
      <c r="M26" s="41">
        <f t="shared" si="4"/>
        <v>20.646</v>
      </c>
      <c r="N26" s="118">
        <v>26.43</v>
      </c>
      <c r="O26" s="116"/>
      <c r="P26" s="116" t="s">
        <v>73</v>
      </c>
      <c r="Q26" s="117"/>
      <c r="R26" s="118"/>
      <c r="S26" s="117"/>
      <c r="T26" s="116"/>
    </row>
    <row r="27" spans="1:20" s="114" customFormat="1" ht="15">
      <c r="A27" s="12" t="s">
        <v>73</v>
      </c>
      <c r="B27" s="65">
        <v>42364.27222222222</v>
      </c>
      <c r="C27" s="14">
        <v>23.5</v>
      </c>
      <c r="D27" s="15">
        <v>260</v>
      </c>
      <c r="E27" s="15">
        <f t="shared" si="0"/>
        <v>6121</v>
      </c>
      <c r="F27" s="13">
        <v>42086.27291666667</v>
      </c>
      <c r="G27" s="14">
        <v>26.7</v>
      </c>
      <c r="H27" s="15">
        <f t="shared" si="1"/>
        <v>6942</v>
      </c>
      <c r="I27" s="16">
        <f t="shared" si="2"/>
        <v>821</v>
      </c>
      <c r="J27" s="19">
        <f t="shared" si="3"/>
        <v>0.13412841039045909</v>
      </c>
      <c r="K27" s="95" t="s">
        <v>196</v>
      </c>
      <c r="L27" s="119">
        <v>22.63</v>
      </c>
      <c r="M27" s="41">
        <f t="shared" si="4"/>
        <v>21.855</v>
      </c>
      <c r="N27" s="118">
        <v>26.43</v>
      </c>
      <c r="O27" s="116"/>
      <c r="P27" s="116" t="s">
        <v>73</v>
      </c>
      <c r="Q27" s="117"/>
      <c r="R27" s="118"/>
      <c r="S27" s="117"/>
      <c r="T27" s="116"/>
    </row>
    <row r="28" spans="1:20" s="114" customFormat="1" ht="15">
      <c r="A28" s="12" t="s">
        <v>43</v>
      </c>
      <c r="B28" s="65">
        <v>42082.464583333334</v>
      </c>
      <c r="C28" s="14">
        <v>125</v>
      </c>
      <c r="D28" s="15">
        <v>160</v>
      </c>
      <c r="E28" s="15">
        <f t="shared" si="0"/>
        <v>20011</v>
      </c>
      <c r="F28" s="13">
        <v>42088.51875</v>
      </c>
      <c r="G28" s="14">
        <v>117.45</v>
      </c>
      <c r="H28" s="15">
        <f t="shared" si="1"/>
        <v>18792</v>
      </c>
      <c r="I28" s="16">
        <f t="shared" si="2"/>
        <v>-1219</v>
      </c>
      <c r="J28" s="19">
        <f t="shared" si="3"/>
        <v>-0.060916495927240015</v>
      </c>
      <c r="K28" s="95" t="s">
        <v>200</v>
      </c>
      <c r="L28" s="119"/>
      <c r="M28" s="20">
        <f t="shared" si="4"/>
        <v>116.25</v>
      </c>
      <c r="N28" s="118">
        <v>156.81</v>
      </c>
      <c r="O28" s="121">
        <v>42139</v>
      </c>
      <c r="P28" s="116" t="s">
        <v>43</v>
      </c>
      <c r="Q28" s="117"/>
      <c r="R28" s="118"/>
      <c r="S28" s="117">
        <f>1.11*C28</f>
        <v>138.75</v>
      </c>
      <c r="T28" s="116"/>
    </row>
    <row r="29" spans="1:22" s="114" customFormat="1" ht="15">
      <c r="A29" s="12" t="s">
        <v>92</v>
      </c>
      <c r="B29" s="65">
        <v>42010.447916666664</v>
      </c>
      <c r="C29" s="14">
        <v>111.9</v>
      </c>
      <c r="D29" s="15">
        <v>130</v>
      </c>
      <c r="E29" s="15">
        <f t="shared" si="0"/>
        <v>14558</v>
      </c>
      <c r="F29" s="13">
        <v>42118.441666666666</v>
      </c>
      <c r="G29" s="14">
        <v>141.92</v>
      </c>
      <c r="H29" s="15">
        <f t="shared" si="1"/>
        <v>18449.6</v>
      </c>
      <c r="I29" s="16">
        <f t="shared" si="2"/>
        <v>3891.5999999999985</v>
      </c>
      <c r="J29" s="19">
        <f t="shared" si="3"/>
        <v>0.26731693913999166</v>
      </c>
      <c r="K29" s="72" t="s">
        <v>226</v>
      </c>
      <c r="L29" s="97">
        <v>123.03</v>
      </c>
      <c r="M29" s="41">
        <f t="shared" si="4"/>
        <v>104.06700000000001</v>
      </c>
      <c r="N29" s="118">
        <v>141.88</v>
      </c>
      <c r="O29" s="121">
        <v>42068</v>
      </c>
      <c r="P29" s="116" t="s">
        <v>92</v>
      </c>
      <c r="Q29" s="117">
        <v>143.9</v>
      </c>
      <c r="R29" s="118">
        <f>Q29*0.855</f>
        <v>123.03450000000001</v>
      </c>
      <c r="S29" s="117">
        <f>1.11*C29</f>
        <v>124.20900000000002</v>
      </c>
      <c r="T29" s="116"/>
      <c r="V29" s="131"/>
    </row>
    <row r="30" spans="1:22" s="114" customFormat="1" ht="15">
      <c r="A30" s="12" t="s">
        <v>92</v>
      </c>
      <c r="B30" s="65">
        <v>42011.34305555555</v>
      </c>
      <c r="C30" s="14">
        <v>114.4</v>
      </c>
      <c r="D30" s="15">
        <v>75</v>
      </c>
      <c r="E30" s="15">
        <f t="shared" si="0"/>
        <v>8591</v>
      </c>
      <c r="F30" s="13">
        <v>42118.441666666666</v>
      </c>
      <c r="G30" s="14">
        <v>141.92</v>
      </c>
      <c r="H30" s="15">
        <f t="shared" si="1"/>
        <v>10643.999999999998</v>
      </c>
      <c r="I30" s="16">
        <f t="shared" si="2"/>
        <v>2052.999999999998</v>
      </c>
      <c r="J30" s="19">
        <f>I30/E30</f>
        <v>0.23897101617972275</v>
      </c>
      <c r="K30" s="72" t="s">
        <v>223</v>
      </c>
      <c r="L30" s="97">
        <v>123.03</v>
      </c>
      <c r="M30" s="41">
        <f t="shared" si="4"/>
        <v>106.39200000000001</v>
      </c>
      <c r="N30" s="118">
        <v>141.88</v>
      </c>
      <c r="O30" s="116"/>
      <c r="P30" s="116" t="s">
        <v>92</v>
      </c>
      <c r="Q30" s="117"/>
      <c r="R30" s="118"/>
      <c r="S30" s="117"/>
      <c r="T30" s="116"/>
      <c r="V30" s="131"/>
    </row>
    <row r="31" spans="1:22" s="114" customFormat="1" ht="15">
      <c r="A31" s="12" t="s">
        <v>92</v>
      </c>
      <c r="B31" s="65">
        <v>42012.39513888889</v>
      </c>
      <c r="C31" s="14">
        <v>117.75</v>
      </c>
      <c r="D31" s="15">
        <v>50</v>
      </c>
      <c r="E31" s="15">
        <f t="shared" si="0"/>
        <v>5898.5</v>
      </c>
      <c r="F31" s="13">
        <v>42118.441666666666</v>
      </c>
      <c r="G31" s="14">
        <v>141.92</v>
      </c>
      <c r="H31" s="15">
        <f t="shared" si="1"/>
        <v>7095.999999999999</v>
      </c>
      <c r="I31" s="16">
        <f t="shared" si="2"/>
        <v>1197.499999999999</v>
      </c>
      <c r="J31" s="19">
        <f>I31/E31</f>
        <v>0.20301771636856814</v>
      </c>
      <c r="K31" s="95" t="s">
        <v>224</v>
      </c>
      <c r="L31" s="97">
        <v>123.03</v>
      </c>
      <c r="M31" s="41">
        <f t="shared" si="4"/>
        <v>109.50750000000001</v>
      </c>
      <c r="N31" s="118">
        <v>141.88</v>
      </c>
      <c r="O31" s="116"/>
      <c r="P31" s="116" t="s">
        <v>92</v>
      </c>
      <c r="Q31" s="117"/>
      <c r="R31" s="118"/>
      <c r="S31" s="117"/>
      <c r="T31" s="116"/>
      <c r="V31" s="131"/>
    </row>
    <row r="32" spans="1:22" s="114" customFormat="1" ht="15">
      <c r="A32" s="12" t="s">
        <v>92</v>
      </c>
      <c r="B32" s="65">
        <v>42061.55972222222</v>
      </c>
      <c r="C32" s="14">
        <v>131.5</v>
      </c>
      <c r="D32" s="15">
        <v>50</v>
      </c>
      <c r="E32" s="15">
        <f t="shared" si="0"/>
        <v>6586</v>
      </c>
      <c r="F32" s="13">
        <v>42118.441666666666</v>
      </c>
      <c r="G32" s="14">
        <v>141.92</v>
      </c>
      <c r="H32" s="15">
        <f t="shared" si="1"/>
        <v>7095.999999999999</v>
      </c>
      <c r="I32" s="16">
        <f t="shared" si="2"/>
        <v>509.9999999999991</v>
      </c>
      <c r="J32" s="19">
        <f>I32/E32</f>
        <v>0.07743698754934696</v>
      </c>
      <c r="K32" s="95" t="s">
        <v>225</v>
      </c>
      <c r="L32" s="97">
        <v>123.03</v>
      </c>
      <c r="M32" s="41">
        <f t="shared" si="4"/>
        <v>122.295</v>
      </c>
      <c r="N32" s="118">
        <v>141.88</v>
      </c>
      <c r="O32" s="116"/>
      <c r="P32" s="116" t="s">
        <v>92</v>
      </c>
      <c r="Q32" s="117"/>
      <c r="R32" s="118"/>
      <c r="S32" s="117"/>
      <c r="T32" s="116"/>
      <c r="V32" s="131"/>
    </row>
    <row r="33" spans="1:22" s="114" customFormat="1" ht="15">
      <c r="A33" s="12" t="s">
        <v>45</v>
      </c>
      <c r="B33" s="65">
        <v>42080.325694444444</v>
      </c>
      <c r="C33" s="14">
        <v>20.12</v>
      </c>
      <c r="D33" s="15">
        <v>1000</v>
      </c>
      <c r="E33" s="15">
        <f t="shared" si="0"/>
        <v>20131</v>
      </c>
      <c r="F33" s="13">
        <v>42160.43819444445</v>
      </c>
      <c r="G33" s="14">
        <v>35.33</v>
      </c>
      <c r="H33" s="15">
        <f t="shared" si="1"/>
        <v>35330</v>
      </c>
      <c r="I33" s="16">
        <f t="shared" si="2"/>
        <v>15199</v>
      </c>
      <c r="J33" s="19">
        <f aca="true" t="shared" si="5" ref="J33:J96">I33/E33</f>
        <v>0.7550047190899608</v>
      </c>
      <c r="K33" s="95" t="s">
        <v>186</v>
      </c>
      <c r="L33" s="119">
        <v>32.46</v>
      </c>
      <c r="M33" s="41">
        <f t="shared" si="4"/>
        <v>18.7116</v>
      </c>
      <c r="N33" s="118">
        <v>32</v>
      </c>
      <c r="O33" s="121">
        <v>42159</v>
      </c>
      <c r="P33" s="116" t="s">
        <v>45</v>
      </c>
      <c r="Q33" s="117">
        <v>37.97</v>
      </c>
      <c r="R33" s="118">
        <f>Q33*0.855</f>
        <v>32.464349999999996</v>
      </c>
      <c r="S33" s="117">
        <f>1.11*C33</f>
        <v>22.3332</v>
      </c>
      <c r="T33" s="116"/>
      <c r="U33" s="117"/>
      <c r="V33" s="15"/>
    </row>
    <row r="34" spans="1:22" s="114" customFormat="1" ht="15">
      <c r="A34" s="12" t="s">
        <v>45</v>
      </c>
      <c r="B34" s="65">
        <v>42081.30972222222</v>
      </c>
      <c r="C34" s="14">
        <v>21.46</v>
      </c>
      <c r="D34" s="15">
        <v>500</v>
      </c>
      <c r="E34" s="15">
        <f t="shared" si="0"/>
        <v>10741</v>
      </c>
      <c r="F34" s="13">
        <v>42160.43819444445</v>
      </c>
      <c r="G34" s="14">
        <v>35.33</v>
      </c>
      <c r="H34" s="15">
        <f t="shared" si="1"/>
        <v>17665</v>
      </c>
      <c r="I34" s="16">
        <f t="shared" si="2"/>
        <v>6924</v>
      </c>
      <c r="J34" s="19">
        <f t="shared" si="5"/>
        <v>0.6446327157620333</v>
      </c>
      <c r="K34" s="95" t="s">
        <v>198</v>
      </c>
      <c r="L34" s="119">
        <v>32.46</v>
      </c>
      <c r="M34" s="41">
        <f t="shared" si="4"/>
        <v>19.957800000000002</v>
      </c>
      <c r="N34" s="118">
        <v>32</v>
      </c>
      <c r="O34" s="116"/>
      <c r="P34" s="116" t="s">
        <v>45</v>
      </c>
      <c r="Q34" s="117"/>
      <c r="R34" s="118"/>
      <c r="S34" s="117"/>
      <c r="T34" s="116"/>
      <c r="V34" s="15"/>
    </row>
    <row r="35" spans="1:22" s="114" customFormat="1" ht="15">
      <c r="A35" s="12" t="s">
        <v>45</v>
      </c>
      <c r="B35" s="65">
        <v>42082.32986111111</v>
      </c>
      <c r="C35" s="14">
        <v>23.1</v>
      </c>
      <c r="D35" s="15">
        <v>780</v>
      </c>
      <c r="E35" s="15">
        <f t="shared" si="0"/>
        <v>18029</v>
      </c>
      <c r="F35" s="13">
        <v>42160.43819444445</v>
      </c>
      <c r="G35" s="14">
        <v>35.33</v>
      </c>
      <c r="H35" s="15">
        <f t="shared" si="1"/>
        <v>27557.399999999998</v>
      </c>
      <c r="I35" s="16">
        <f t="shared" si="2"/>
        <v>9528.399999999998</v>
      </c>
      <c r="J35" s="19">
        <f t="shared" si="5"/>
        <v>0.5285040767652115</v>
      </c>
      <c r="K35" s="95" t="s">
        <v>188</v>
      </c>
      <c r="L35" s="119">
        <v>32.46</v>
      </c>
      <c r="M35" s="41">
        <f t="shared" si="4"/>
        <v>21.483000000000004</v>
      </c>
      <c r="N35" s="118">
        <v>32</v>
      </c>
      <c r="O35" s="116"/>
      <c r="P35" s="116" t="s">
        <v>45</v>
      </c>
      <c r="Q35" s="117"/>
      <c r="R35" s="118"/>
      <c r="S35" s="117"/>
      <c r="T35" s="116"/>
      <c r="V35" s="15"/>
    </row>
    <row r="36" spans="1:22" s="114" customFormat="1" ht="15">
      <c r="A36" s="12" t="s">
        <v>45</v>
      </c>
      <c r="B36" s="65">
        <v>42090.27291666667</v>
      </c>
      <c r="C36" s="14">
        <v>23.65</v>
      </c>
      <c r="D36" s="15">
        <v>510</v>
      </c>
      <c r="E36" s="15">
        <f t="shared" si="0"/>
        <v>12072.5</v>
      </c>
      <c r="F36" s="13">
        <v>42160.43819444445</v>
      </c>
      <c r="G36" s="14">
        <v>35.33</v>
      </c>
      <c r="H36" s="15">
        <f t="shared" si="1"/>
        <v>18018.3</v>
      </c>
      <c r="I36" s="16">
        <f t="shared" si="2"/>
        <v>5945.799999999999</v>
      </c>
      <c r="J36" s="19">
        <f t="shared" si="5"/>
        <v>0.49250776558293635</v>
      </c>
      <c r="K36" s="95" t="s">
        <v>199</v>
      </c>
      <c r="L36" s="119">
        <v>32.46</v>
      </c>
      <c r="M36" s="41">
        <f t="shared" si="4"/>
        <v>21.9945</v>
      </c>
      <c r="N36" s="118">
        <v>32</v>
      </c>
      <c r="O36" s="116"/>
      <c r="P36" s="116" t="s">
        <v>45</v>
      </c>
      <c r="Q36" s="117"/>
      <c r="R36" s="118"/>
      <c r="S36" s="117"/>
      <c r="T36" s="116"/>
      <c r="V36" s="15"/>
    </row>
    <row r="37" spans="1:22" s="114" customFormat="1" ht="15">
      <c r="A37" s="12" t="s">
        <v>45</v>
      </c>
      <c r="B37" s="65">
        <v>42102.27916666667</v>
      </c>
      <c r="C37" s="14">
        <v>26.2</v>
      </c>
      <c r="D37" s="15">
        <v>560</v>
      </c>
      <c r="E37" s="15">
        <f t="shared" si="0"/>
        <v>14683</v>
      </c>
      <c r="F37" s="13">
        <v>42160.43819444445</v>
      </c>
      <c r="G37" s="14">
        <v>35.33</v>
      </c>
      <c r="H37" s="15">
        <f t="shared" si="1"/>
        <v>19784.8</v>
      </c>
      <c r="I37" s="16">
        <f t="shared" si="2"/>
        <v>5101.799999999999</v>
      </c>
      <c r="J37" s="19">
        <f t="shared" si="5"/>
        <v>0.34746305250970505</v>
      </c>
      <c r="K37" s="95" t="s">
        <v>218</v>
      </c>
      <c r="L37" s="119">
        <v>32.46</v>
      </c>
      <c r="M37" s="41">
        <f t="shared" si="4"/>
        <v>24.366</v>
      </c>
      <c r="N37" s="118">
        <v>32</v>
      </c>
      <c r="O37" s="116"/>
      <c r="P37" s="116" t="s">
        <v>45</v>
      </c>
      <c r="Q37" s="117"/>
      <c r="R37" s="118"/>
      <c r="S37" s="117"/>
      <c r="T37" s="116"/>
      <c r="V37" s="15"/>
    </row>
    <row r="38" spans="1:22" s="114" customFormat="1" ht="15">
      <c r="A38" s="12" t="s">
        <v>45</v>
      </c>
      <c r="B38" s="65">
        <v>42109.40833333333</v>
      </c>
      <c r="C38" s="14">
        <v>29.02</v>
      </c>
      <c r="D38" s="15">
        <v>670</v>
      </c>
      <c r="E38" s="15">
        <f t="shared" si="0"/>
        <v>19454.4</v>
      </c>
      <c r="F38" s="13">
        <v>42160.43819444445</v>
      </c>
      <c r="G38" s="14">
        <v>35.33</v>
      </c>
      <c r="H38" s="15">
        <f t="shared" si="1"/>
        <v>23671.1</v>
      </c>
      <c r="I38" s="16">
        <f t="shared" si="2"/>
        <v>4216.699999999997</v>
      </c>
      <c r="J38" s="19">
        <f t="shared" si="5"/>
        <v>0.21674788222715669</v>
      </c>
      <c r="K38" s="95" t="s">
        <v>245</v>
      </c>
      <c r="L38" s="119">
        <v>32.46</v>
      </c>
      <c r="M38" s="41">
        <f t="shared" si="4"/>
        <v>26.9886</v>
      </c>
      <c r="N38" s="118">
        <v>32</v>
      </c>
      <c r="O38" s="116"/>
      <c r="P38" s="116" t="s">
        <v>45</v>
      </c>
      <c r="Q38" s="117"/>
      <c r="R38" s="118"/>
      <c r="S38" s="117"/>
      <c r="T38" s="116"/>
      <c r="V38" s="15"/>
    </row>
    <row r="39" spans="1:23" s="114" customFormat="1" ht="15">
      <c r="A39" s="12" t="s">
        <v>45</v>
      </c>
      <c r="B39" s="65">
        <v>42115.27291666667</v>
      </c>
      <c r="C39" s="14">
        <v>31.27</v>
      </c>
      <c r="D39" s="15">
        <v>670</v>
      </c>
      <c r="E39" s="15">
        <f t="shared" si="0"/>
        <v>20961.9</v>
      </c>
      <c r="F39" s="13">
        <v>42160.43819444445</v>
      </c>
      <c r="G39" s="14">
        <v>35.33</v>
      </c>
      <c r="H39" s="15">
        <f t="shared" si="1"/>
        <v>23671.1</v>
      </c>
      <c r="I39" s="16">
        <f t="shared" si="2"/>
        <v>2709.199999999997</v>
      </c>
      <c r="J39" s="19">
        <f t="shared" si="5"/>
        <v>0.12924400936937955</v>
      </c>
      <c r="K39" s="95" t="s">
        <v>235</v>
      </c>
      <c r="L39" s="119">
        <v>32.46</v>
      </c>
      <c r="M39" s="41">
        <f t="shared" si="4"/>
        <v>29.081100000000003</v>
      </c>
      <c r="N39" s="118">
        <v>32</v>
      </c>
      <c r="O39" s="116"/>
      <c r="P39" s="116" t="s">
        <v>45</v>
      </c>
      <c r="Q39" s="117"/>
      <c r="R39" s="118"/>
      <c r="S39" s="117"/>
      <c r="T39" s="116"/>
      <c r="V39" s="15"/>
      <c r="W39" s="29"/>
    </row>
    <row r="40" spans="1:22" s="114" customFormat="1" ht="15">
      <c r="A40" s="12" t="s">
        <v>49</v>
      </c>
      <c r="B40" s="65">
        <v>42117.345138888886</v>
      </c>
      <c r="C40" s="14">
        <v>117.5</v>
      </c>
      <c r="D40" s="15">
        <v>215</v>
      </c>
      <c r="E40" s="15">
        <f t="shared" si="0"/>
        <v>25273.5</v>
      </c>
      <c r="F40" s="13">
        <v>42166.27847222222</v>
      </c>
      <c r="G40" s="14">
        <v>149.95</v>
      </c>
      <c r="H40" s="15">
        <f t="shared" si="1"/>
        <v>32239.249999999996</v>
      </c>
      <c r="I40" s="16">
        <f t="shared" si="2"/>
        <v>6965.749999999996</v>
      </c>
      <c r="J40" s="19">
        <f t="shared" si="5"/>
        <v>0.2756147743684095</v>
      </c>
      <c r="K40" s="95" t="s">
        <v>230</v>
      </c>
      <c r="L40" s="119">
        <v>129.4</v>
      </c>
      <c r="M40" s="41">
        <f t="shared" si="4"/>
        <v>109.275</v>
      </c>
      <c r="N40" s="118">
        <v>148.09</v>
      </c>
      <c r="O40" s="121">
        <v>42159</v>
      </c>
      <c r="P40" s="116" t="s">
        <v>49</v>
      </c>
      <c r="Q40" s="117">
        <v>151.34</v>
      </c>
      <c r="R40" s="118">
        <f>Q40*0.855</f>
        <v>129.3957</v>
      </c>
      <c r="S40" s="117">
        <f>1.11*C40</f>
        <v>130.425</v>
      </c>
      <c r="T40" s="116"/>
      <c r="U40" s="117"/>
      <c r="V40" s="15"/>
    </row>
    <row r="41" spans="1:22" s="114" customFormat="1" ht="15">
      <c r="A41" s="12" t="s">
        <v>49</v>
      </c>
      <c r="B41" s="65">
        <v>42118.274305555555</v>
      </c>
      <c r="C41" s="14">
        <v>119.93</v>
      </c>
      <c r="D41" s="15">
        <v>125</v>
      </c>
      <c r="E41" s="15">
        <f t="shared" si="0"/>
        <v>15002.25</v>
      </c>
      <c r="F41" s="13">
        <v>42166.27847222222</v>
      </c>
      <c r="G41" s="14">
        <v>149.95</v>
      </c>
      <c r="H41" s="15">
        <f t="shared" si="1"/>
        <v>18743.75</v>
      </c>
      <c r="I41" s="16">
        <f t="shared" si="2"/>
        <v>3741.5</v>
      </c>
      <c r="J41" s="19">
        <f t="shared" si="5"/>
        <v>0.2493959239447416</v>
      </c>
      <c r="K41" s="95" t="s">
        <v>231</v>
      </c>
      <c r="L41" s="119">
        <v>129.4</v>
      </c>
      <c r="M41" s="41">
        <f t="shared" si="4"/>
        <v>111.53490000000001</v>
      </c>
      <c r="N41" s="118">
        <v>148.09</v>
      </c>
      <c r="O41" s="116"/>
      <c r="P41" s="116" t="s">
        <v>49</v>
      </c>
      <c r="Q41" s="117"/>
      <c r="R41" s="118"/>
      <c r="S41" s="117"/>
      <c r="T41" s="116"/>
      <c r="V41" s="15"/>
    </row>
    <row r="42" spans="1:22" s="114" customFormat="1" ht="15">
      <c r="A42" s="12" t="s">
        <v>49</v>
      </c>
      <c r="B42" s="65">
        <v>42118.285416666666</v>
      </c>
      <c r="C42" s="14">
        <v>122.62</v>
      </c>
      <c r="D42" s="15">
        <v>80</v>
      </c>
      <c r="E42" s="15">
        <f t="shared" si="0"/>
        <v>9820.6</v>
      </c>
      <c r="F42" s="13">
        <v>42166.27847222222</v>
      </c>
      <c r="G42" s="14">
        <v>149.95</v>
      </c>
      <c r="H42" s="15">
        <f t="shared" si="1"/>
        <v>11996</v>
      </c>
      <c r="I42" s="16">
        <f t="shared" si="2"/>
        <v>2175.3999999999996</v>
      </c>
      <c r="J42" s="19">
        <f t="shared" si="5"/>
        <v>0.2215139604504816</v>
      </c>
      <c r="K42" s="95" t="s">
        <v>232</v>
      </c>
      <c r="L42" s="119">
        <v>129.4</v>
      </c>
      <c r="M42" s="41">
        <f t="shared" si="4"/>
        <v>114.0366</v>
      </c>
      <c r="N42" s="118">
        <v>148.09</v>
      </c>
      <c r="O42" s="116"/>
      <c r="P42" s="116" t="s">
        <v>49</v>
      </c>
      <c r="Q42" s="117"/>
      <c r="R42" s="118"/>
      <c r="S42" s="117"/>
      <c r="T42" s="116"/>
      <c r="V42" s="15"/>
    </row>
    <row r="43" spans="1:23" s="114" customFormat="1" ht="15">
      <c r="A43" s="12" t="s">
        <v>49</v>
      </c>
      <c r="B43" s="65">
        <v>42138.27222222222</v>
      </c>
      <c r="C43" s="14">
        <v>138.86</v>
      </c>
      <c r="D43" s="15">
        <v>85</v>
      </c>
      <c r="E43" s="15">
        <f t="shared" si="0"/>
        <v>11814.1</v>
      </c>
      <c r="F43" s="13">
        <v>42166.27847222222</v>
      </c>
      <c r="G43" s="14">
        <v>149.95</v>
      </c>
      <c r="H43" s="15">
        <f t="shared" si="1"/>
        <v>12745.749999999998</v>
      </c>
      <c r="I43" s="16">
        <f t="shared" si="2"/>
        <v>931.6499999999978</v>
      </c>
      <c r="J43" s="19">
        <f t="shared" si="5"/>
        <v>0.07885915981750602</v>
      </c>
      <c r="K43" s="95" t="s">
        <v>242</v>
      </c>
      <c r="L43" s="119">
        <v>129.4</v>
      </c>
      <c r="M43" s="41">
        <f t="shared" si="4"/>
        <v>129.1398</v>
      </c>
      <c r="N43" s="118">
        <v>148.09</v>
      </c>
      <c r="O43" s="116"/>
      <c r="P43" s="116" t="s">
        <v>49</v>
      </c>
      <c r="Q43" s="117"/>
      <c r="R43" s="118"/>
      <c r="S43" s="117"/>
      <c r="T43" s="116"/>
      <c r="V43" s="15"/>
      <c r="W43" s="29"/>
    </row>
    <row r="44" spans="1:22" s="114" customFormat="1" ht="15">
      <c r="A44" s="12" t="s">
        <v>39</v>
      </c>
      <c r="B44" s="65">
        <v>42062.53680555556</v>
      </c>
      <c r="C44" s="14">
        <v>57.65</v>
      </c>
      <c r="D44" s="15">
        <v>100</v>
      </c>
      <c r="E44" s="15">
        <f t="shared" si="0"/>
        <v>5776</v>
      </c>
      <c r="F44" s="13">
        <v>42174.51944444444</v>
      </c>
      <c r="G44" s="14">
        <v>119.02</v>
      </c>
      <c r="H44" s="15">
        <f t="shared" si="1"/>
        <v>11902</v>
      </c>
      <c r="I44" s="16">
        <f t="shared" si="2"/>
        <v>6126</v>
      </c>
      <c r="J44" s="19">
        <f t="shared" si="5"/>
        <v>1.060595567867036</v>
      </c>
      <c r="K44" s="72" t="s">
        <v>267</v>
      </c>
      <c r="L44" s="143" t="s">
        <v>250</v>
      </c>
      <c r="M44" s="41">
        <f t="shared" si="4"/>
        <v>53.6145</v>
      </c>
      <c r="N44" s="142">
        <v>79</v>
      </c>
      <c r="O44" s="121">
        <v>42124</v>
      </c>
      <c r="P44" s="116" t="s">
        <v>39</v>
      </c>
      <c r="Q44" s="117">
        <v>120</v>
      </c>
      <c r="R44" s="118">
        <f>Q44*0.855</f>
        <v>102.6</v>
      </c>
      <c r="S44" s="117">
        <f>1.11*C44</f>
        <v>63.9915</v>
      </c>
      <c r="T44" s="116"/>
      <c r="U44" s="117"/>
      <c r="V44" s="15"/>
    </row>
    <row r="45" spans="1:22" s="114" customFormat="1" ht="15">
      <c r="A45" s="12" t="s">
        <v>39</v>
      </c>
      <c r="B45" s="65">
        <v>42073.322916666664</v>
      </c>
      <c r="C45" s="14">
        <v>65.15</v>
      </c>
      <c r="D45" s="15">
        <v>350</v>
      </c>
      <c r="E45" s="15">
        <f t="shared" si="0"/>
        <v>22813.500000000004</v>
      </c>
      <c r="F45" s="13">
        <v>42174.51944444444</v>
      </c>
      <c r="G45" s="14">
        <v>119.02</v>
      </c>
      <c r="H45" s="15">
        <f t="shared" si="1"/>
        <v>41657</v>
      </c>
      <c r="I45" s="16">
        <f t="shared" si="2"/>
        <v>18843.499999999996</v>
      </c>
      <c r="J45" s="19">
        <f t="shared" si="5"/>
        <v>0.8259802310035722</v>
      </c>
      <c r="K45" s="95" t="s">
        <v>164</v>
      </c>
      <c r="L45" s="143" t="s">
        <v>250</v>
      </c>
      <c r="M45" s="41">
        <f t="shared" si="4"/>
        <v>60.58950000000001</v>
      </c>
      <c r="N45" s="142">
        <v>79</v>
      </c>
      <c r="O45" s="116"/>
      <c r="P45" s="116" t="s">
        <v>39</v>
      </c>
      <c r="Q45" s="117"/>
      <c r="R45" s="118"/>
      <c r="S45" s="117"/>
      <c r="T45" s="116"/>
      <c r="V45" s="15"/>
    </row>
    <row r="46" spans="1:22" s="114" customFormat="1" ht="15">
      <c r="A46" s="12" t="s">
        <v>39</v>
      </c>
      <c r="B46" s="65">
        <v>42073.35555555556</v>
      </c>
      <c r="C46" s="14">
        <v>66.15</v>
      </c>
      <c r="D46" s="15">
        <v>110</v>
      </c>
      <c r="E46" s="15">
        <f t="shared" si="0"/>
        <v>7287.500000000001</v>
      </c>
      <c r="F46" s="13">
        <v>42174.51944444444</v>
      </c>
      <c r="G46" s="14">
        <v>119.02</v>
      </c>
      <c r="H46" s="15">
        <f t="shared" si="1"/>
        <v>13092.199999999999</v>
      </c>
      <c r="I46" s="16">
        <f t="shared" si="2"/>
        <v>5804.699999999998</v>
      </c>
      <c r="J46" s="19">
        <f t="shared" si="5"/>
        <v>0.7965283018867921</v>
      </c>
      <c r="K46" s="72" t="s">
        <v>249</v>
      </c>
      <c r="L46" s="143" t="s">
        <v>250</v>
      </c>
      <c r="M46" s="41">
        <f t="shared" si="4"/>
        <v>61.51950000000001</v>
      </c>
      <c r="N46" s="142">
        <v>79</v>
      </c>
      <c r="O46" s="116"/>
      <c r="P46" s="116" t="s">
        <v>39</v>
      </c>
      <c r="Q46" s="117"/>
      <c r="R46" s="118"/>
      <c r="S46" s="117"/>
      <c r="T46" s="116"/>
      <c r="V46" s="15"/>
    </row>
    <row r="47" spans="1:22" s="114" customFormat="1" ht="15">
      <c r="A47" s="12" t="s">
        <v>39</v>
      </c>
      <c r="B47" s="65">
        <v>42093.34375</v>
      </c>
      <c r="C47" s="14">
        <v>73.37</v>
      </c>
      <c r="D47" s="15">
        <v>110</v>
      </c>
      <c r="E47" s="15">
        <f t="shared" si="0"/>
        <v>8081.700000000001</v>
      </c>
      <c r="F47" s="13">
        <v>42174.51944444444</v>
      </c>
      <c r="G47" s="14">
        <v>119.02</v>
      </c>
      <c r="H47" s="15">
        <f t="shared" si="1"/>
        <v>13092.199999999999</v>
      </c>
      <c r="I47" s="16">
        <f t="shared" si="2"/>
        <v>5010.499999999998</v>
      </c>
      <c r="J47" s="19">
        <f t="shared" si="5"/>
        <v>0.6199809446032392</v>
      </c>
      <c r="K47" s="95" t="s">
        <v>268</v>
      </c>
      <c r="L47" s="143" t="s">
        <v>250</v>
      </c>
      <c r="M47" s="41">
        <f t="shared" si="4"/>
        <v>68.23410000000001</v>
      </c>
      <c r="N47" s="142">
        <v>79</v>
      </c>
      <c r="O47" s="116"/>
      <c r="P47" s="116" t="s">
        <v>39</v>
      </c>
      <c r="Q47" s="117"/>
      <c r="R47" s="118"/>
      <c r="S47" s="117"/>
      <c r="T47" s="116"/>
      <c r="V47" s="15"/>
    </row>
    <row r="48" spans="1:23" s="114" customFormat="1" ht="15">
      <c r="A48" s="12" t="s">
        <v>39</v>
      </c>
      <c r="B48" s="65">
        <v>42139.313888888886</v>
      </c>
      <c r="C48" s="14">
        <v>77.5</v>
      </c>
      <c r="D48" s="15">
        <v>200</v>
      </c>
      <c r="E48" s="15">
        <f t="shared" si="0"/>
        <v>15511</v>
      </c>
      <c r="F48" s="13">
        <v>42174.51944444444</v>
      </c>
      <c r="G48" s="14">
        <v>119.02</v>
      </c>
      <c r="H48" s="15">
        <f t="shared" si="1"/>
        <v>23804</v>
      </c>
      <c r="I48" s="16">
        <f t="shared" si="2"/>
        <v>8293</v>
      </c>
      <c r="J48" s="19">
        <f t="shared" si="5"/>
        <v>0.5346528270259816</v>
      </c>
      <c r="K48" s="95" t="s">
        <v>241</v>
      </c>
      <c r="L48" s="143" t="s">
        <v>250</v>
      </c>
      <c r="M48" s="41">
        <f t="shared" si="4"/>
        <v>72.075</v>
      </c>
      <c r="N48" s="142">
        <v>79</v>
      </c>
      <c r="O48" s="116"/>
      <c r="P48" s="116" t="s">
        <v>39</v>
      </c>
      <c r="Q48" s="117"/>
      <c r="R48" s="118"/>
      <c r="S48" s="117"/>
      <c r="T48" s="116"/>
      <c r="V48" s="15"/>
      <c r="W48" s="29"/>
    </row>
    <row r="49" spans="1:23" s="114" customFormat="1" ht="15">
      <c r="A49" s="12" t="s">
        <v>39</v>
      </c>
      <c r="B49" s="65">
        <v>42156.38402777778</v>
      </c>
      <c r="C49" s="14">
        <v>93.05</v>
      </c>
      <c r="D49" s="15">
        <v>180</v>
      </c>
      <c r="E49" s="15">
        <f t="shared" si="0"/>
        <v>16760</v>
      </c>
      <c r="F49" s="13">
        <v>42174.51944444444</v>
      </c>
      <c r="G49" s="14">
        <v>119.02</v>
      </c>
      <c r="H49" s="15">
        <f t="shared" si="1"/>
        <v>21423.6</v>
      </c>
      <c r="I49" s="16">
        <f t="shared" si="2"/>
        <v>4663.5999999999985</v>
      </c>
      <c r="J49" s="19">
        <f t="shared" si="5"/>
        <v>0.27825775656324575</v>
      </c>
      <c r="K49" s="95" t="s">
        <v>269</v>
      </c>
      <c r="L49" s="143" t="s">
        <v>250</v>
      </c>
      <c r="M49" s="20">
        <f t="shared" si="4"/>
        <v>86.5365</v>
      </c>
      <c r="N49" s="142">
        <v>79</v>
      </c>
      <c r="O49" s="116"/>
      <c r="P49" s="116" t="s">
        <v>39</v>
      </c>
      <c r="Q49" s="117"/>
      <c r="R49" s="118"/>
      <c r="S49" s="117"/>
      <c r="T49" s="116"/>
      <c r="V49" s="15"/>
      <c r="W49" s="29"/>
    </row>
    <row r="50" spans="1:22" s="114" customFormat="1" ht="15">
      <c r="A50" s="12" t="s">
        <v>52</v>
      </c>
      <c r="B50" s="65">
        <v>42046.27361111111</v>
      </c>
      <c r="C50" s="14">
        <v>129.75</v>
      </c>
      <c r="D50" s="15">
        <v>80</v>
      </c>
      <c r="E50" s="15">
        <f t="shared" si="0"/>
        <v>10391</v>
      </c>
      <c r="F50" s="65">
        <v>42180.28055555555</v>
      </c>
      <c r="G50" s="14">
        <v>178.65</v>
      </c>
      <c r="H50" s="15">
        <f t="shared" si="1"/>
        <v>14292</v>
      </c>
      <c r="I50" s="16">
        <f t="shared" si="2"/>
        <v>3901</v>
      </c>
      <c r="J50" s="19">
        <f t="shared" si="5"/>
        <v>0.3754210374362429</v>
      </c>
      <c r="K50" s="95" t="s">
        <v>135</v>
      </c>
      <c r="L50" s="140" t="s">
        <v>252</v>
      </c>
      <c r="M50" s="41">
        <f t="shared" si="4"/>
        <v>120.6675</v>
      </c>
      <c r="N50" s="118">
        <v>161.78</v>
      </c>
      <c r="O50" s="121">
        <f>WORKDAY(B50,40,'Weekly Summary'!P$2:P$10)</f>
        <v>42104</v>
      </c>
      <c r="P50" s="116" t="s">
        <v>52</v>
      </c>
      <c r="Q50" s="117">
        <v>184.8</v>
      </c>
      <c r="R50" s="118">
        <f>Q50*0.855</f>
        <v>158.00400000000002</v>
      </c>
      <c r="S50" s="117">
        <f>1.11*C50</f>
        <v>144.0225</v>
      </c>
      <c r="T50" s="116"/>
      <c r="U50" s="117"/>
      <c r="V50" s="15"/>
    </row>
    <row r="51" spans="1:22" s="114" customFormat="1" ht="15">
      <c r="A51" s="12" t="s">
        <v>52</v>
      </c>
      <c r="B51" s="65">
        <v>42047.275</v>
      </c>
      <c r="C51" s="14">
        <v>133.95</v>
      </c>
      <c r="D51" s="15">
        <v>45</v>
      </c>
      <c r="E51" s="15">
        <f t="shared" si="0"/>
        <v>6038.749999999999</v>
      </c>
      <c r="F51" s="65">
        <v>42180.28055555555</v>
      </c>
      <c r="G51" s="14">
        <v>178.65</v>
      </c>
      <c r="H51" s="15">
        <f t="shared" si="1"/>
        <v>8039.25</v>
      </c>
      <c r="I51" s="16">
        <f t="shared" si="2"/>
        <v>2000.500000000001</v>
      </c>
      <c r="J51" s="19">
        <f t="shared" si="5"/>
        <v>0.3312771682881393</v>
      </c>
      <c r="K51" s="95" t="s">
        <v>136</v>
      </c>
      <c r="L51" s="140" t="s">
        <v>252</v>
      </c>
      <c r="M51" s="41">
        <f t="shared" si="4"/>
        <v>124.5735</v>
      </c>
      <c r="N51" s="118">
        <v>161.78</v>
      </c>
      <c r="O51" s="116"/>
      <c r="P51" s="116" t="s">
        <v>52</v>
      </c>
      <c r="Q51" s="117"/>
      <c r="R51" s="118"/>
      <c r="S51" s="117"/>
      <c r="T51" s="116"/>
      <c r="V51" s="15"/>
    </row>
    <row r="52" spans="1:22" s="114" customFormat="1" ht="15">
      <c r="A52" s="12" t="s">
        <v>52</v>
      </c>
      <c r="B52" s="65">
        <v>42048.450694444444</v>
      </c>
      <c r="C52" s="14">
        <v>135.8</v>
      </c>
      <c r="D52" s="15">
        <v>30</v>
      </c>
      <c r="E52" s="15">
        <f t="shared" si="0"/>
        <v>4085.0000000000005</v>
      </c>
      <c r="F52" s="65">
        <v>42180.28055555555</v>
      </c>
      <c r="G52" s="14">
        <v>178.65</v>
      </c>
      <c r="H52" s="15">
        <f t="shared" si="1"/>
        <v>5359.5</v>
      </c>
      <c r="I52" s="16">
        <f t="shared" si="2"/>
        <v>1274.4999999999995</v>
      </c>
      <c r="J52" s="19">
        <f t="shared" si="5"/>
        <v>0.3119951040391675</v>
      </c>
      <c r="K52" s="95" t="s">
        <v>143</v>
      </c>
      <c r="L52" s="140" t="s">
        <v>252</v>
      </c>
      <c r="M52" s="41">
        <f t="shared" si="4"/>
        <v>126.29400000000001</v>
      </c>
      <c r="N52" s="118">
        <v>161.78</v>
      </c>
      <c r="O52" s="116"/>
      <c r="P52" s="116" t="s">
        <v>52</v>
      </c>
      <c r="Q52" s="117"/>
      <c r="R52" s="118"/>
      <c r="S52" s="117"/>
      <c r="T52" s="116"/>
      <c r="V52" s="15"/>
    </row>
    <row r="53" spans="1:22" s="114" customFormat="1" ht="15">
      <c r="A53" s="12" t="s">
        <v>52</v>
      </c>
      <c r="B53" s="65">
        <v>42074.29027777778</v>
      </c>
      <c r="C53" s="14">
        <v>140.55</v>
      </c>
      <c r="D53" s="15">
        <v>30</v>
      </c>
      <c r="E53" s="15">
        <f t="shared" si="0"/>
        <v>4227.5</v>
      </c>
      <c r="F53" s="65">
        <v>42180.28055555555</v>
      </c>
      <c r="G53" s="14">
        <v>178.65</v>
      </c>
      <c r="H53" s="15">
        <f t="shared" si="1"/>
        <v>5359.5</v>
      </c>
      <c r="I53" s="16">
        <f t="shared" si="2"/>
        <v>1132</v>
      </c>
      <c r="J53" s="19">
        <f t="shared" si="5"/>
        <v>0.2677705499704317</v>
      </c>
      <c r="K53" s="95" t="s">
        <v>182</v>
      </c>
      <c r="L53" s="140" t="s">
        <v>252</v>
      </c>
      <c r="M53" s="41">
        <f t="shared" si="4"/>
        <v>130.71150000000003</v>
      </c>
      <c r="N53" s="118">
        <v>161.78</v>
      </c>
      <c r="O53" s="116"/>
      <c r="P53" s="116" t="s">
        <v>52</v>
      </c>
      <c r="Q53" s="117"/>
      <c r="R53" s="118"/>
      <c r="S53" s="117"/>
      <c r="T53" s="116"/>
      <c r="V53" s="15"/>
    </row>
    <row r="54" spans="1:23" s="114" customFormat="1" ht="15">
      <c r="A54" s="12" t="s">
        <v>52</v>
      </c>
      <c r="B54" s="65">
        <v>42093.27638888889</v>
      </c>
      <c r="C54" s="14">
        <v>149.29</v>
      </c>
      <c r="D54" s="15">
        <v>40</v>
      </c>
      <c r="E54" s="15">
        <f t="shared" si="0"/>
        <v>5982.599999999999</v>
      </c>
      <c r="F54" s="65">
        <v>42180.28055555555</v>
      </c>
      <c r="G54" s="14">
        <v>178.65</v>
      </c>
      <c r="H54" s="15">
        <f t="shared" si="1"/>
        <v>7146</v>
      </c>
      <c r="I54" s="16">
        <f t="shared" si="2"/>
        <v>1163.4000000000005</v>
      </c>
      <c r="J54" s="19">
        <f t="shared" si="5"/>
        <v>0.19446394544178128</v>
      </c>
      <c r="K54" s="95" t="s">
        <v>213</v>
      </c>
      <c r="L54" s="140" t="s">
        <v>252</v>
      </c>
      <c r="M54" s="41">
        <f t="shared" si="4"/>
        <v>138.8397</v>
      </c>
      <c r="N54" s="118">
        <v>161.78</v>
      </c>
      <c r="O54" s="116"/>
      <c r="P54" s="116" t="s">
        <v>52</v>
      </c>
      <c r="Q54" s="117"/>
      <c r="R54" s="118"/>
      <c r="S54" s="117"/>
      <c r="T54" s="116"/>
      <c r="V54" s="15"/>
      <c r="W54" s="29"/>
    </row>
    <row r="55" spans="1:24" s="114" customFormat="1" ht="15">
      <c r="A55" s="12" t="s">
        <v>52</v>
      </c>
      <c r="B55" s="65">
        <v>42142.46666666667</v>
      </c>
      <c r="C55" s="14">
        <v>158</v>
      </c>
      <c r="D55" s="15">
        <v>45</v>
      </c>
      <c r="E55" s="15">
        <f t="shared" si="0"/>
        <v>7121</v>
      </c>
      <c r="F55" s="65">
        <v>42180.28055555555</v>
      </c>
      <c r="G55" s="14">
        <v>178.65</v>
      </c>
      <c r="H55" s="15">
        <f t="shared" si="1"/>
        <v>8039.25</v>
      </c>
      <c r="I55" s="16">
        <f t="shared" si="2"/>
        <v>918.25</v>
      </c>
      <c r="J55" s="19">
        <f t="shared" si="5"/>
        <v>0.12894958573234097</v>
      </c>
      <c r="K55" s="95" t="s">
        <v>246</v>
      </c>
      <c r="L55" s="140" t="s">
        <v>252</v>
      </c>
      <c r="M55" s="41">
        <f t="shared" si="4"/>
        <v>146.94</v>
      </c>
      <c r="N55" s="118">
        <v>161.78</v>
      </c>
      <c r="O55" s="116"/>
      <c r="P55" s="116" t="s">
        <v>52</v>
      </c>
      <c r="Q55" s="117"/>
      <c r="R55" s="118"/>
      <c r="S55" s="117"/>
      <c r="T55" s="116"/>
      <c r="V55" s="15"/>
      <c r="W55" s="29"/>
      <c r="X55" s="29"/>
    </row>
    <row r="56" spans="1:24" s="114" customFormat="1" ht="15">
      <c r="A56" s="12" t="s">
        <v>52</v>
      </c>
      <c r="B56" s="65">
        <v>42152.50625</v>
      </c>
      <c r="C56" s="14">
        <v>168</v>
      </c>
      <c r="D56" s="15">
        <v>55</v>
      </c>
      <c r="E56" s="15">
        <f t="shared" si="0"/>
        <v>9251</v>
      </c>
      <c r="F56" s="65">
        <v>42180.28055555555</v>
      </c>
      <c r="G56" s="14">
        <v>178.65</v>
      </c>
      <c r="H56" s="15">
        <f t="shared" si="1"/>
        <v>9825.75</v>
      </c>
      <c r="I56" s="16">
        <f t="shared" si="2"/>
        <v>574.75</v>
      </c>
      <c r="J56" s="19">
        <f t="shared" si="5"/>
        <v>0.06212841854934602</v>
      </c>
      <c r="K56" s="95" t="s">
        <v>244</v>
      </c>
      <c r="L56" s="140" t="s">
        <v>254</v>
      </c>
      <c r="M56" s="41">
        <f t="shared" si="4"/>
        <v>156.24</v>
      </c>
      <c r="N56" s="118">
        <v>161.78</v>
      </c>
      <c r="O56" s="116"/>
      <c r="P56" s="116" t="s">
        <v>52</v>
      </c>
      <c r="Q56" s="117"/>
      <c r="R56" s="118"/>
      <c r="S56" s="117"/>
      <c r="T56" s="116"/>
      <c r="V56" s="15"/>
      <c r="W56" s="29"/>
      <c r="X56" s="29"/>
    </row>
    <row r="57" spans="1:22" s="114" customFormat="1" ht="15">
      <c r="A57" s="12" t="s">
        <v>61</v>
      </c>
      <c r="B57" s="65">
        <v>42040.27847222222</v>
      </c>
      <c r="C57" s="14">
        <v>132.85</v>
      </c>
      <c r="D57" s="15">
        <v>110</v>
      </c>
      <c r="E57" s="15">
        <f t="shared" si="0"/>
        <v>14624.5</v>
      </c>
      <c r="F57" s="65">
        <v>42201.288194444445</v>
      </c>
      <c r="G57" s="14">
        <v>168.13</v>
      </c>
      <c r="H57" s="15">
        <f t="shared" si="1"/>
        <v>18494.3</v>
      </c>
      <c r="I57" s="16">
        <f t="shared" si="2"/>
        <v>3869.7999999999993</v>
      </c>
      <c r="J57" s="19">
        <f t="shared" si="5"/>
        <v>0.2646107559232794</v>
      </c>
      <c r="K57" s="95" t="s">
        <v>284</v>
      </c>
      <c r="L57" s="119">
        <v>139.96</v>
      </c>
      <c r="M57" s="41">
        <f t="shared" si="4"/>
        <v>123.5505</v>
      </c>
      <c r="N57" s="118">
        <v>168.13</v>
      </c>
      <c r="O57" s="121">
        <v>42086</v>
      </c>
      <c r="P57" s="116" t="s">
        <v>61</v>
      </c>
      <c r="Q57" s="117">
        <v>163.7</v>
      </c>
      <c r="R57" s="118">
        <f>Q57*0.855</f>
        <v>139.96349999999998</v>
      </c>
      <c r="S57" s="117">
        <f>1.11*C57</f>
        <v>147.4635</v>
      </c>
      <c r="T57" s="116"/>
      <c r="U57" s="117"/>
      <c r="V57" s="15"/>
    </row>
    <row r="58" spans="1:22" s="114" customFormat="1" ht="15">
      <c r="A58" s="12" t="s">
        <v>61</v>
      </c>
      <c r="B58" s="65">
        <v>42045.27291666667</v>
      </c>
      <c r="C58" s="14">
        <v>135.9</v>
      </c>
      <c r="D58" s="15">
        <v>65</v>
      </c>
      <c r="E58" s="15">
        <f t="shared" si="0"/>
        <v>8844.5</v>
      </c>
      <c r="F58" s="65">
        <v>42201.288194444445</v>
      </c>
      <c r="G58" s="14">
        <v>168.13</v>
      </c>
      <c r="H58" s="15">
        <f t="shared" si="1"/>
        <v>10928.449999999999</v>
      </c>
      <c r="I58" s="16">
        <f t="shared" si="2"/>
        <v>2083.949999999999</v>
      </c>
      <c r="J58" s="19">
        <f t="shared" si="5"/>
        <v>0.23562100740573225</v>
      </c>
      <c r="K58" s="95" t="s">
        <v>285</v>
      </c>
      <c r="L58" s="119">
        <v>139.96</v>
      </c>
      <c r="M58" s="41">
        <f t="shared" si="4"/>
        <v>126.38700000000001</v>
      </c>
      <c r="N58" s="118">
        <v>168.13</v>
      </c>
      <c r="O58" s="116"/>
      <c r="P58" s="116" t="s">
        <v>61</v>
      </c>
      <c r="Q58" s="117"/>
      <c r="R58" s="118"/>
      <c r="S58" s="117"/>
      <c r="T58" s="116"/>
      <c r="V58" s="15"/>
    </row>
    <row r="59" spans="1:22" s="114" customFormat="1" ht="15">
      <c r="A59" s="12" t="s">
        <v>61</v>
      </c>
      <c r="B59" s="65">
        <v>42054.277083333334</v>
      </c>
      <c r="C59" s="14">
        <v>139.17</v>
      </c>
      <c r="D59" s="15">
        <v>40</v>
      </c>
      <c r="E59" s="15">
        <f t="shared" si="0"/>
        <v>5577.799999999999</v>
      </c>
      <c r="F59" s="65">
        <v>42201.288194444445</v>
      </c>
      <c r="G59" s="14">
        <v>168.13</v>
      </c>
      <c r="H59" s="15">
        <f t="shared" si="1"/>
        <v>6725.2</v>
      </c>
      <c r="I59" s="16">
        <f t="shared" si="2"/>
        <v>1147.4000000000005</v>
      </c>
      <c r="J59" s="19">
        <f t="shared" si="5"/>
        <v>0.20570834379145914</v>
      </c>
      <c r="K59" s="95" t="s">
        <v>293</v>
      </c>
      <c r="L59" s="119">
        <v>139.96</v>
      </c>
      <c r="M59" s="41">
        <f t="shared" si="4"/>
        <v>129.4281</v>
      </c>
      <c r="N59" s="118">
        <v>168.13</v>
      </c>
      <c r="O59" s="116"/>
      <c r="P59" s="116" t="s">
        <v>61</v>
      </c>
      <c r="Q59" s="117"/>
      <c r="R59" s="118"/>
      <c r="S59" s="117"/>
      <c r="T59" s="116"/>
      <c r="V59" s="15"/>
    </row>
    <row r="60" spans="1:22" s="114" customFormat="1" ht="15">
      <c r="A60" s="12" t="s">
        <v>61</v>
      </c>
      <c r="B60" s="65">
        <v>42075.56458333333</v>
      </c>
      <c r="C60" s="14">
        <v>154</v>
      </c>
      <c r="D60" s="15">
        <v>40</v>
      </c>
      <c r="E60" s="15">
        <f t="shared" si="0"/>
        <v>6171</v>
      </c>
      <c r="F60" s="65">
        <v>42201.288194444445</v>
      </c>
      <c r="G60" s="14">
        <v>168.13</v>
      </c>
      <c r="H60" s="15">
        <f t="shared" si="1"/>
        <v>6725.2</v>
      </c>
      <c r="I60" s="16">
        <f t="shared" si="2"/>
        <v>554.1999999999998</v>
      </c>
      <c r="J60" s="19">
        <f t="shared" si="5"/>
        <v>0.08980716253443523</v>
      </c>
      <c r="K60" s="95" t="s">
        <v>160</v>
      </c>
      <c r="L60" s="119"/>
      <c r="M60" s="20">
        <f t="shared" si="4"/>
        <v>143.22</v>
      </c>
      <c r="N60" s="118">
        <v>168.13</v>
      </c>
      <c r="O60" s="116"/>
      <c r="P60" s="116" t="s">
        <v>61</v>
      </c>
      <c r="Q60" s="117"/>
      <c r="R60" s="118"/>
      <c r="S60" s="117"/>
      <c r="T60" s="116"/>
      <c r="V60" s="15"/>
    </row>
    <row r="61" spans="1:23" s="114" customFormat="1" ht="15">
      <c r="A61" s="12" t="s">
        <v>61</v>
      </c>
      <c r="B61" s="65">
        <v>42109.27222222222</v>
      </c>
      <c r="C61" s="14">
        <v>156.13</v>
      </c>
      <c r="D61" s="15">
        <v>50</v>
      </c>
      <c r="E61" s="15">
        <f t="shared" si="0"/>
        <v>7817.5</v>
      </c>
      <c r="F61" s="65">
        <v>42201.288194444445</v>
      </c>
      <c r="G61" s="14">
        <v>168.13</v>
      </c>
      <c r="H61" s="15">
        <f t="shared" si="1"/>
        <v>8406.5</v>
      </c>
      <c r="I61" s="16">
        <f t="shared" si="2"/>
        <v>589</v>
      </c>
      <c r="J61" s="19">
        <f t="shared" si="5"/>
        <v>0.07534377998081228</v>
      </c>
      <c r="K61" s="95" t="s">
        <v>294</v>
      </c>
      <c r="L61" s="119"/>
      <c r="M61" s="20">
        <f t="shared" si="4"/>
        <v>145.2009</v>
      </c>
      <c r="N61" s="118">
        <v>168.13</v>
      </c>
      <c r="O61" s="116"/>
      <c r="P61" s="116" t="s">
        <v>61</v>
      </c>
      <c r="Q61" s="117"/>
      <c r="R61" s="118"/>
      <c r="S61" s="117"/>
      <c r="T61" s="116"/>
      <c r="V61" s="15"/>
      <c r="W61" s="29"/>
    </row>
    <row r="62" spans="1:22" s="114" customFormat="1" ht="15">
      <c r="A62" s="12" t="s">
        <v>169</v>
      </c>
      <c r="B62" s="65">
        <v>42076.538194444445</v>
      </c>
      <c r="C62" s="14">
        <v>56.64</v>
      </c>
      <c r="D62" s="15">
        <v>320</v>
      </c>
      <c r="E62" s="15">
        <f t="shared" si="0"/>
        <v>18135.8</v>
      </c>
      <c r="F62" s="13">
        <v>42220.29305555556</v>
      </c>
      <c r="G62" s="14">
        <v>71.25</v>
      </c>
      <c r="H62" s="15">
        <f t="shared" si="1"/>
        <v>22800</v>
      </c>
      <c r="I62" s="16">
        <f t="shared" si="2"/>
        <v>4664.200000000001</v>
      </c>
      <c r="J62" s="19">
        <f t="shared" si="5"/>
        <v>0.25718192745839724</v>
      </c>
      <c r="K62" s="95" t="s">
        <v>305</v>
      </c>
      <c r="L62" s="119">
        <v>60</v>
      </c>
      <c r="M62" s="41">
        <f t="shared" si="4"/>
        <v>52.675200000000004</v>
      </c>
      <c r="N62" s="118">
        <v>71.25</v>
      </c>
      <c r="O62" s="121">
        <v>42132</v>
      </c>
      <c r="P62" s="116" t="s">
        <v>169</v>
      </c>
      <c r="Q62" s="117">
        <v>70.18</v>
      </c>
      <c r="R62" s="118">
        <f>Q62*0.855</f>
        <v>60.0039</v>
      </c>
      <c r="S62" s="117">
        <f>1.11*C62</f>
        <v>62.870400000000004</v>
      </c>
      <c r="T62" s="116"/>
      <c r="U62" s="117"/>
      <c r="V62" s="15"/>
    </row>
    <row r="63" spans="1:22" s="114" customFormat="1" ht="15">
      <c r="A63" s="12" t="s">
        <v>169</v>
      </c>
      <c r="B63" s="65">
        <v>42082.302777777775</v>
      </c>
      <c r="C63" s="14">
        <v>57.9</v>
      </c>
      <c r="D63" s="15">
        <v>190</v>
      </c>
      <c r="E63" s="15">
        <f t="shared" si="0"/>
        <v>11012</v>
      </c>
      <c r="F63" s="13">
        <v>42220.29305555556</v>
      </c>
      <c r="G63" s="14">
        <v>71.25</v>
      </c>
      <c r="H63" s="15">
        <f t="shared" si="1"/>
        <v>13537.5</v>
      </c>
      <c r="I63" s="16">
        <f t="shared" si="2"/>
        <v>2525.5</v>
      </c>
      <c r="J63" s="19">
        <f t="shared" si="5"/>
        <v>0.2293407192154014</v>
      </c>
      <c r="K63" s="95" t="s">
        <v>306</v>
      </c>
      <c r="L63" s="119">
        <v>60</v>
      </c>
      <c r="M63" s="41">
        <f t="shared" si="4"/>
        <v>53.847</v>
      </c>
      <c r="N63" s="118">
        <v>71.25</v>
      </c>
      <c r="O63" s="116"/>
      <c r="P63" s="116" t="s">
        <v>169</v>
      </c>
      <c r="Q63" s="117"/>
      <c r="R63" s="118"/>
      <c r="S63" s="117"/>
      <c r="T63" s="116"/>
      <c r="V63" s="15"/>
    </row>
    <row r="64" spans="1:23" s="114" customFormat="1" ht="15">
      <c r="A64" s="12" t="s">
        <v>169</v>
      </c>
      <c r="B64" s="65">
        <v>42103.433333333334</v>
      </c>
      <c r="C64" s="14">
        <v>59.27</v>
      </c>
      <c r="D64" s="15">
        <v>125</v>
      </c>
      <c r="E64" s="15">
        <f t="shared" si="0"/>
        <v>7419.75</v>
      </c>
      <c r="F64" s="13">
        <v>42220.29305555556</v>
      </c>
      <c r="G64" s="14">
        <v>71.25</v>
      </c>
      <c r="H64" s="15">
        <f t="shared" si="1"/>
        <v>8906.25</v>
      </c>
      <c r="I64" s="16">
        <f t="shared" si="2"/>
        <v>1486.5</v>
      </c>
      <c r="J64" s="19">
        <f t="shared" si="5"/>
        <v>0.20034367734761954</v>
      </c>
      <c r="K64" s="95" t="s">
        <v>307</v>
      </c>
      <c r="L64" s="119">
        <v>60</v>
      </c>
      <c r="M64" s="41">
        <f t="shared" si="4"/>
        <v>55.121100000000006</v>
      </c>
      <c r="N64" s="118">
        <v>71.25</v>
      </c>
      <c r="O64" s="116"/>
      <c r="P64" s="116" t="s">
        <v>169</v>
      </c>
      <c r="Q64" s="117"/>
      <c r="R64" s="118"/>
      <c r="S64" s="117"/>
      <c r="T64" s="116"/>
      <c r="V64" s="15"/>
      <c r="W64" s="29"/>
    </row>
    <row r="65" spans="1:23" s="114" customFormat="1" ht="15">
      <c r="A65" s="12" t="s">
        <v>169</v>
      </c>
      <c r="B65" s="65">
        <v>42173.30486111111</v>
      </c>
      <c r="C65" s="14">
        <v>62.25</v>
      </c>
      <c r="D65" s="15">
        <v>65</v>
      </c>
      <c r="E65" s="15">
        <f t="shared" si="0"/>
        <v>4057.25</v>
      </c>
      <c r="F65" s="13">
        <v>42220.29305555556</v>
      </c>
      <c r="G65" s="14">
        <v>71.25</v>
      </c>
      <c r="H65" s="15">
        <f t="shared" si="1"/>
        <v>4631.25</v>
      </c>
      <c r="I65" s="16">
        <f t="shared" si="2"/>
        <v>574</v>
      </c>
      <c r="J65" s="19">
        <f t="shared" si="5"/>
        <v>0.14147513710025264</v>
      </c>
      <c r="K65" s="95" t="s">
        <v>308</v>
      </c>
      <c r="L65" s="119">
        <v>60</v>
      </c>
      <c r="M65" s="41">
        <f t="shared" si="4"/>
        <v>57.892500000000005</v>
      </c>
      <c r="N65" s="118">
        <v>71.25</v>
      </c>
      <c r="O65" s="116"/>
      <c r="P65" s="116" t="s">
        <v>169</v>
      </c>
      <c r="Q65" s="117"/>
      <c r="R65" s="118"/>
      <c r="S65" s="117"/>
      <c r="T65" s="116"/>
      <c r="V65" s="15"/>
      <c r="W65" s="29"/>
    </row>
    <row r="66" spans="1:23" s="114" customFormat="1" ht="15">
      <c r="A66" s="12" t="s">
        <v>169</v>
      </c>
      <c r="B66" s="65">
        <v>42185.43472222222</v>
      </c>
      <c r="C66" s="14">
        <v>65.19</v>
      </c>
      <c r="D66" s="15">
        <v>140</v>
      </c>
      <c r="E66" s="15">
        <f t="shared" si="0"/>
        <v>9137.6</v>
      </c>
      <c r="F66" s="13">
        <v>42220.29305555556</v>
      </c>
      <c r="G66" s="14">
        <v>71.25</v>
      </c>
      <c r="H66" s="15">
        <f t="shared" si="1"/>
        <v>9975</v>
      </c>
      <c r="I66" s="16">
        <f t="shared" si="2"/>
        <v>837.3999999999996</v>
      </c>
      <c r="J66" s="19">
        <f t="shared" si="5"/>
        <v>0.0916433199089476</v>
      </c>
      <c r="K66" s="95" t="s">
        <v>278</v>
      </c>
      <c r="L66" s="119"/>
      <c r="M66" s="20">
        <f t="shared" si="4"/>
        <v>60.6267</v>
      </c>
      <c r="N66" s="118">
        <v>71.25</v>
      </c>
      <c r="O66" s="116"/>
      <c r="P66" s="116" t="s">
        <v>169</v>
      </c>
      <c r="Q66" s="117"/>
      <c r="R66" s="118"/>
      <c r="S66" s="117"/>
      <c r="T66" s="116"/>
      <c r="V66" s="15"/>
      <c r="W66" s="29"/>
    </row>
    <row r="67" spans="1:23" s="114" customFormat="1" ht="15">
      <c r="A67" s="12" t="s">
        <v>66</v>
      </c>
      <c r="B67" s="65">
        <v>42156.31875</v>
      </c>
      <c r="C67" s="14">
        <v>41</v>
      </c>
      <c r="D67" s="15">
        <v>1900</v>
      </c>
      <c r="E67" s="15">
        <f aca="true" t="shared" si="6" ref="E67:E77">C67*D67+11</f>
        <v>77911</v>
      </c>
      <c r="F67" s="65">
        <v>42220.493055555555</v>
      </c>
      <c r="G67" s="14">
        <v>52.97</v>
      </c>
      <c r="H67" s="15">
        <f aca="true" t="shared" si="7" ref="H67:H77">G67*D67</f>
        <v>100643</v>
      </c>
      <c r="I67" s="16">
        <f aca="true" t="shared" si="8" ref="I67:I77">H67-E67</f>
        <v>22732</v>
      </c>
      <c r="J67" s="19">
        <f t="shared" si="5"/>
        <v>0.29176881313293374</v>
      </c>
      <c r="K67" s="95" t="s">
        <v>329</v>
      </c>
      <c r="L67" s="119">
        <v>44.25</v>
      </c>
      <c r="M67" s="41">
        <f aca="true" t="shared" si="9" ref="M67:M77">C67*0.93</f>
        <v>38.13</v>
      </c>
      <c r="N67" s="118">
        <v>52.13</v>
      </c>
      <c r="O67" s="121">
        <v>42215</v>
      </c>
      <c r="P67" s="116" t="s">
        <v>66</v>
      </c>
      <c r="Q67" s="117">
        <v>51.75</v>
      </c>
      <c r="R67" s="118">
        <f>Q67*0.855</f>
        <v>44.246249999999996</v>
      </c>
      <c r="S67" s="117">
        <f>1.11*C67</f>
        <v>45.510000000000005</v>
      </c>
      <c r="T67" s="116"/>
      <c r="V67" s="15"/>
      <c r="W67" s="29"/>
    </row>
    <row r="68" spans="1:23" s="114" customFormat="1" ht="15">
      <c r="A68" s="12" t="s">
        <v>66</v>
      </c>
      <c r="B68" s="65">
        <v>42158.308333333334</v>
      </c>
      <c r="C68" s="14">
        <v>42.1</v>
      </c>
      <c r="D68" s="15">
        <v>1100</v>
      </c>
      <c r="E68" s="15">
        <f t="shared" si="6"/>
        <v>46321</v>
      </c>
      <c r="F68" s="65">
        <v>42220.493055555555</v>
      </c>
      <c r="G68" s="14">
        <v>52.97</v>
      </c>
      <c r="H68" s="15">
        <f t="shared" si="7"/>
        <v>58267</v>
      </c>
      <c r="I68" s="16">
        <f t="shared" si="8"/>
        <v>11946</v>
      </c>
      <c r="J68" s="19">
        <f t="shared" si="5"/>
        <v>0.2578959867014961</v>
      </c>
      <c r="K68" s="95" t="s">
        <v>330</v>
      </c>
      <c r="L68" s="119">
        <v>42.84</v>
      </c>
      <c r="M68" s="41">
        <f t="shared" si="9"/>
        <v>39.153000000000006</v>
      </c>
      <c r="N68" s="118">
        <v>52.13</v>
      </c>
      <c r="O68" s="116"/>
      <c r="P68" s="116" t="s">
        <v>66</v>
      </c>
      <c r="Q68" s="117"/>
      <c r="R68" s="118"/>
      <c r="S68" s="117"/>
      <c r="T68" s="116"/>
      <c r="V68" s="15"/>
      <c r="W68" s="29"/>
    </row>
    <row r="69" spans="1:23" s="114" customFormat="1" ht="15">
      <c r="A69" s="12" t="s">
        <v>66</v>
      </c>
      <c r="B69" s="65">
        <v>41798.27222222222</v>
      </c>
      <c r="C69" s="14">
        <v>43.43</v>
      </c>
      <c r="D69" s="15">
        <v>700</v>
      </c>
      <c r="E69" s="15">
        <f t="shared" si="6"/>
        <v>30412</v>
      </c>
      <c r="F69" s="65">
        <v>42220.493055555555</v>
      </c>
      <c r="G69" s="14">
        <v>52.97</v>
      </c>
      <c r="H69" s="15">
        <f t="shared" si="7"/>
        <v>37079</v>
      </c>
      <c r="I69" s="16">
        <f t="shared" si="8"/>
        <v>6667</v>
      </c>
      <c r="J69" s="19">
        <f t="shared" si="5"/>
        <v>0.21922267525976588</v>
      </c>
      <c r="K69" s="95" t="s">
        <v>331</v>
      </c>
      <c r="L69" s="119">
        <v>42.84</v>
      </c>
      <c r="M69" s="41">
        <f t="shared" si="9"/>
        <v>40.389900000000004</v>
      </c>
      <c r="N69" s="118">
        <v>52.13</v>
      </c>
      <c r="O69" s="116"/>
      <c r="P69" s="116" t="s">
        <v>66</v>
      </c>
      <c r="Q69" s="117"/>
      <c r="R69" s="118"/>
      <c r="S69" s="117"/>
      <c r="T69" s="116"/>
      <c r="V69" s="15"/>
      <c r="W69" s="29"/>
    </row>
    <row r="70" spans="1:23" s="114" customFormat="1" ht="15">
      <c r="A70" s="12" t="s">
        <v>66</v>
      </c>
      <c r="B70" s="65">
        <v>42195.27569444444</v>
      </c>
      <c r="C70" s="14">
        <v>44.78</v>
      </c>
      <c r="D70" s="15">
        <v>370</v>
      </c>
      <c r="E70" s="15">
        <f t="shared" si="6"/>
        <v>16579.600000000002</v>
      </c>
      <c r="F70" s="65">
        <v>42220.493055555555</v>
      </c>
      <c r="G70" s="14">
        <v>52.97</v>
      </c>
      <c r="H70" s="15">
        <f t="shared" si="7"/>
        <v>19598.899999999998</v>
      </c>
      <c r="I70" s="16">
        <f t="shared" si="8"/>
        <v>3019.2999999999956</v>
      </c>
      <c r="J70" s="19">
        <f t="shared" si="5"/>
        <v>0.18210933918791739</v>
      </c>
      <c r="K70" s="95" t="s">
        <v>286</v>
      </c>
      <c r="L70" s="119">
        <v>42.84</v>
      </c>
      <c r="M70" s="41">
        <f t="shared" si="9"/>
        <v>41.6454</v>
      </c>
      <c r="N70" s="118">
        <v>52.13</v>
      </c>
      <c r="O70" s="116"/>
      <c r="P70" s="116" t="s">
        <v>66</v>
      </c>
      <c r="Q70" s="117"/>
      <c r="R70" s="118"/>
      <c r="S70" s="117"/>
      <c r="T70" s="116"/>
      <c r="V70" s="15"/>
      <c r="W70" s="29"/>
    </row>
    <row r="71" spans="1:23" s="114" customFormat="1" ht="15">
      <c r="A71" s="12" t="s">
        <v>66</v>
      </c>
      <c r="B71" s="65">
        <v>42198.27222222222</v>
      </c>
      <c r="C71" s="14">
        <v>46.9</v>
      </c>
      <c r="D71" s="15">
        <v>370</v>
      </c>
      <c r="E71" s="15">
        <f t="shared" si="6"/>
        <v>17364</v>
      </c>
      <c r="F71" s="65">
        <v>42220.493055555555</v>
      </c>
      <c r="G71" s="14">
        <v>52.97</v>
      </c>
      <c r="H71" s="15">
        <f t="shared" si="7"/>
        <v>19598.899999999998</v>
      </c>
      <c r="I71" s="16">
        <f t="shared" si="8"/>
        <v>2234.899999999998</v>
      </c>
      <c r="J71" s="19">
        <f t="shared" si="5"/>
        <v>0.12870882285187732</v>
      </c>
      <c r="K71" s="95" t="s">
        <v>332</v>
      </c>
      <c r="L71" s="119"/>
      <c r="M71" s="20">
        <f t="shared" si="9"/>
        <v>43.617000000000004</v>
      </c>
      <c r="N71" s="118">
        <v>52.13</v>
      </c>
      <c r="O71" s="116"/>
      <c r="P71" s="116" t="s">
        <v>66</v>
      </c>
      <c r="Q71" s="117"/>
      <c r="R71" s="118"/>
      <c r="S71" s="117"/>
      <c r="T71" s="116"/>
      <c r="V71" s="15"/>
      <c r="W71" s="29"/>
    </row>
    <row r="72" spans="1:23" s="114" customFormat="1" ht="15">
      <c r="A72" s="12" t="s">
        <v>66</v>
      </c>
      <c r="B72" s="65">
        <v>42215.35833333333</v>
      </c>
      <c r="C72" s="14">
        <v>48.42</v>
      </c>
      <c r="D72" s="15">
        <v>450</v>
      </c>
      <c r="E72" s="15">
        <f t="shared" si="6"/>
        <v>21800</v>
      </c>
      <c r="F72" s="65">
        <v>42220.493055555555</v>
      </c>
      <c r="G72" s="14">
        <v>52.97</v>
      </c>
      <c r="H72" s="15">
        <f t="shared" si="7"/>
        <v>23836.5</v>
      </c>
      <c r="I72" s="16">
        <f t="shared" si="8"/>
        <v>2036.5</v>
      </c>
      <c r="J72" s="19">
        <f t="shared" si="5"/>
        <v>0.09341743119266055</v>
      </c>
      <c r="K72" s="95" t="s">
        <v>301</v>
      </c>
      <c r="L72" s="119"/>
      <c r="M72" s="20">
        <f t="shared" si="9"/>
        <v>45.03060000000001</v>
      </c>
      <c r="N72" s="118">
        <v>53.13</v>
      </c>
      <c r="O72" s="116"/>
      <c r="P72" s="116" t="s">
        <v>66</v>
      </c>
      <c r="Q72" s="117"/>
      <c r="R72" s="118"/>
      <c r="S72" s="117"/>
      <c r="T72" s="116"/>
      <c r="V72" s="15"/>
      <c r="W72" s="29"/>
    </row>
    <row r="73" spans="1:23" s="114" customFormat="1" ht="15">
      <c r="A73" s="12" t="s">
        <v>59</v>
      </c>
      <c r="B73" s="65">
        <v>42164.36944444444</v>
      </c>
      <c r="C73" s="14">
        <v>47.25</v>
      </c>
      <c r="D73" s="15">
        <v>1600</v>
      </c>
      <c r="E73" s="15">
        <f t="shared" si="6"/>
        <v>75611</v>
      </c>
      <c r="F73" s="13">
        <v>42233.53125</v>
      </c>
      <c r="G73" s="14">
        <v>64.14</v>
      </c>
      <c r="H73" s="15">
        <f t="shared" si="7"/>
        <v>102624</v>
      </c>
      <c r="I73" s="16">
        <f t="shared" si="8"/>
        <v>27013</v>
      </c>
      <c r="J73" s="19">
        <f t="shared" si="5"/>
        <v>0.35726283212760046</v>
      </c>
      <c r="K73" s="95" t="s">
        <v>341</v>
      </c>
      <c r="L73" s="119">
        <v>54.01</v>
      </c>
      <c r="M73" s="41">
        <f t="shared" si="9"/>
        <v>43.9425</v>
      </c>
      <c r="N73" s="118">
        <v>60.98</v>
      </c>
      <c r="O73" s="121">
        <v>42223</v>
      </c>
      <c r="P73" s="116" t="s">
        <v>59</v>
      </c>
      <c r="Q73" s="117">
        <v>63.17</v>
      </c>
      <c r="R73" s="118">
        <f>Q73*0.855</f>
        <v>54.01035</v>
      </c>
      <c r="S73" s="117">
        <f>1.11*C73</f>
        <v>52.447500000000005</v>
      </c>
      <c r="T73" s="116"/>
      <c r="V73" s="15"/>
      <c r="W73" s="29"/>
    </row>
    <row r="74" spans="1:23" s="114" customFormat="1" ht="15">
      <c r="A74" s="12" t="s">
        <v>59</v>
      </c>
      <c r="B74" s="65">
        <v>42164.478472222225</v>
      </c>
      <c r="C74" s="14">
        <v>48.3</v>
      </c>
      <c r="D74" s="15">
        <v>1000</v>
      </c>
      <c r="E74" s="15">
        <f t="shared" si="6"/>
        <v>48311</v>
      </c>
      <c r="F74" s="13">
        <v>42233.53125</v>
      </c>
      <c r="G74" s="14">
        <v>64.14</v>
      </c>
      <c r="H74" s="15">
        <f t="shared" si="7"/>
        <v>64140</v>
      </c>
      <c r="I74" s="16">
        <f t="shared" si="8"/>
        <v>15829</v>
      </c>
      <c r="J74" s="19">
        <f t="shared" si="5"/>
        <v>0.32764794767237276</v>
      </c>
      <c r="K74" s="95" t="s">
        <v>342</v>
      </c>
      <c r="L74" s="119">
        <v>54.01</v>
      </c>
      <c r="M74" s="41">
        <f t="shared" si="9"/>
        <v>44.919</v>
      </c>
      <c r="N74" s="118">
        <v>60.98</v>
      </c>
      <c r="O74" s="116"/>
      <c r="P74" s="116" t="s">
        <v>59</v>
      </c>
      <c r="Q74" s="117"/>
      <c r="R74" s="118"/>
      <c r="S74" s="117"/>
      <c r="T74" s="116"/>
      <c r="V74" s="15"/>
      <c r="W74" s="29"/>
    </row>
    <row r="75" spans="1:23" s="114" customFormat="1" ht="15">
      <c r="A75" s="12" t="s">
        <v>59</v>
      </c>
      <c r="B75" s="65">
        <v>42166.291666666664</v>
      </c>
      <c r="C75" s="14">
        <v>49.14</v>
      </c>
      <c r="D75" s="15">
        <v>600</v>
      </c>
      <c r="E75" s="15">
        <f t="shared" si="6"/>
        <v>29495</v>
      </c>
      <c r="F75" s="13">
        <v>42233.53125</v>
      </c>
      <c r="G75" s="14">
        <v>64.14</v>
      </c>
      <c r="H75" s="15">
        <f t="shared" si="7"/>
        <v>38484</v>
      </c>
      <c r="I75" s="16">
        <f t="shared" si="8"/>
        <v>8989</v>
      </c>
      <c r="J75" s="19">
        <f t="shared" si="5"/>
        <v>0.30476351924054923</v>
      </c>
      <c r="K75" s="95" t="s">
        <v>343</v>
      </c>
      <c r="L75" s="119">
        <v>54.01</v>
      </c>
      <c r="M75" s="41">
        <f t="shared" si="9"/>
        <v>45.7002</v>
      </c>
      <c r="N75" s="118">
        <v>60.98</v>
      </c>
      <c r="O75" s="116"/>
      <c r="P75" s="116" t="s">
        <v>59</v>
      </c>
      <c r="Q75" s="117"/>
      <c r="R75" s="118"/>
      <c r="S75" s="117"/>
      <c r="T75" s="116"/>
      <c r="V75" s="15"/>
      <c r="W75" s="29"/>
    </row>
    <row r="76" spans="1:23" s="114" customFormat="1" ht="15">
      <c r="A76" s="12" t="s">
        <v>59</v>
      </c>
      <c r="B76" s="65">
        <v>42191.27777777778</v>
      </c>
      <c r="C76" s="14">
        <v>55.44</v>
      </c>
      <c r="D76" s="15">
        <v>640</v>
      </c>
      <c r="E76" s="15">
        <f t="shared" si="6"/>
        <v>35492.6</v>
      </c>
      <c r="F76" s="13">
        <v>42233.53125</v>
      </c>
      <c r="G76" s="14">
        <v>64.14</v>
      </c>
      <c r="H76" s="15">
        <f t="shared" si="7"/>
        <v>41049.6</v>
      </c>
      <c r="I76" s="16">
        <f t="shared" si="8"/>
        <v>5557</v>
      </c>
      <c r="J76" s="19">
        <f t="shared" si="5"/>
        <v>0.15656784794576897</v>
      </c>
      <c r="K76" s="95" t="s">
        <v>344</v>
      </c>
      <c r="L76" s="119">
        <v>54.01</v>
      </c>
      <c r="M76" s="41">
        <f t="shared" si="9"/>
        <v>51.559200000000004</v>
      </c>
      <c r="N76" s="118">
        <v>60.98</v>
      </c>
      <c r="O76" s="116"/>
      <c r="P76" s="116" t="s">
        <v>59</v>
      </c>
      <c r="Q76" s="117"/>
      <c r="R76" s="118"/>
      <c r="S76" s="117"/>
      <c r="T76" s="116"/>
      <c r="V76" s="15"/>
      <c r="W76" s="29"/>
    </row>
    <row r="77" spans="1:23" s="114" customFormat="1" ht="15">
      <c r="A77" s="12" t="s">
        <v>59</v>
      </c>
      <c r="B77" s="65">
        <v>42222.49236111111</v>
      </c>
      <c r="C77" s="14">
        <v>58.18</v>
      </c>
      <c r="D77" s="15">
        <v>770</v>
      </c>
      <c r="E77" s="15">
        <f t="shared" si="6"/>
        <v>44809.6</v>
      </c>
      <c r="F77" s="13">
        <v>42233.53125</v>
      </c>
      <c r="G77" s="14">
        <v>64.14</v>
      </c>
      <c r="H77" s="15">
        <f t="shared" si="7"/>
        <v>49387.8</v>
      </c>
      <c r="I77" s="16">
        <f t="shared" si="8"/>
        <v>4578.200000000004</v>
      </c>
      <c r="J77" s="19">
        <f t="shared" si="5"/>
        <v>0.102170070699136</v>
      </c>
      <c r="K77" s="95" t="s">
        <v>345</v>
      </c>
      <c r="L77" s="119"/>
      <c r="M77" s="20">
        <f t="shared" si="9"/>
        <v>54.107400000000005</v>
      </c>
      <c r="N77" s="118">
        <v>60.98</v>
      </c>
      <c r="O77" s="116"/>
      <c r="P77" s="116" t="s">
        <v>59</v>
      </c>
      <c r="Q77" s="117"/>
      <c r="R77" s="118"/>
      <c r="S77" s="117"/>
      <c r="T77" s="116"/>
      <c r="V77" s="15"/>
      <c r="W77" s="29"/>
    </row>
    <row r="78" spans="1:22" s="114" customFormat="1" ht="15">
      <c r="A78" s="12" t="s">
        <v>80</v>
      </c>
      <c r="B78" s="65">
        <v>42011.30486111111</v>
      </c>
      <c r="C78" s="14">
        <v>58.02</v>
      </c>
      <c r="D78" s="15">
        <v>250</v>
      </c>
      <c r="E78" s="15">
        <f aca="true" t="shared" si="10" ref="E78:E87">C78*D78+11</f>
        <v>14516</v>
      </c>
      <c r="F78" s="13">
        <v>42234.529861111114</v>
      </c>
      <c r="G78" s="14">
        <v>154.26</v>
      </c>
      <c r="H78" s="15">
        <f aca="true" t="shared" si="11" ref="H78:H109">G78*D78</f>
        <v>38565</v>
      </c>
      <c r="I78" s="16">
        <f aca="true" t="shared" si="12" ref="I78:I109">H78-E78</f>
        <v>24049</v>
      </c>
      <c r="J78" s="19">
        <f t="shared" si="5"/>
        <v>1.656723615321025</v>
      </c>
      <c r="K78" s="72" t="s">
        <v>318</v>
      </c>
      <c r="L78" s="140" t="s">
        <v>51</v>
      </c>
      <c r="M78" s="41">
        <f aca="true" t="shared" si="13" ref="M78:M87">C78*0.93</f>
        <v>53.958600000000004</v>
      </c>
      <c r="N78" s="118">
        <v>77.93</v>
      </c>
      <c r="O78" s="121">
        <v>42090</v>
      </c>
      <c r="P78" s="116" t="s">
        <v>80</v>
      </c>
      <c r="Q78" s="117">
        <v>163.6</v>
      </c>
      <c r="R78" s="118">
        <f>Q78*0.855</f>
        <v>139.878</v>
      </c>
      <c r="S78" s="117">
        <f>1.11*C78</f>
        <v>64.40220000000001</v>
      </c>
      <c r="T78" s="116"/>
      <c r="U78" s="117"/>
      <c r="V78" s="15"/>
    </row>
    <row r="79" spans="1:22" s="114" customFormat="1" ht="15">
      <c r="A79" s="12" t="s">
        <v>80</v>
      </c>
      <c r="B79" s="65">
        <v>42011.40694444445</v>
      </c>
      <c r="C79" s="14">
        <v>59.16</v>
      </c>
      <c r="D79" s="15">
        <v>150</v>
      </c>
      <c r="E79" s="15">
        <f t="shared" si="10"/>
        <v>8885</v>
      </c>
      <c r="F79" s="13">
        <v>42234.529861111114</v>
      </c>
      <c r="G79" s="14">
        <v>154.26</v>
      </c>
      <c r="H79" s="15">
        <f t="shared" si="11"/>
        <v>23139</v>
      </c>
      <c r="I79" s="16">
        <f t="shared" si="12"/>
        <v>14254</v>
      </c>
      <c r="J79" s="122">
        <f t="shared" si="5"/>
        <v>1.60427687113112</v>
      </c>
      <c r="K79" s="95" t="s">
        <v>319</v>
      </c>
      <c r="L79" s="140" t="s">
        <v>51</v>
      </c>
      <c r="M79" s="41">
        <f t="shared" si="13"/>
        <v>55.0188</v>
      </c>
      <c r="N79" s="118">
        <v>77.93</v>
      </c>
      <c r="O79" s="116"/>
      <c r="P79" s="116" t="s">
        <v>80</v>
      </c>
      <c r="Q79" s="117"/>
      <c r="R79" s="118"/>
      <c r="S79" s="117"/>
      <c r="T79" s="116"/>
      <c r="V79" s="15"/>
    </row>
    <row r="80" spans="1:22" s="114" customFormat="1" ht="15">
      <c r="A80" s="12" t="s">
        <v>80</v>
      </c>
      <c r="B80" s="65">
        <v>42012.29305555556</v>
      </c>
      <c r="C80" s="14">
        <v>60.3</v>
      </c>
      <c r="D80" s="15">
        <v>100</v>
      </c>
      <c r="E80" s="15">
        <f t="shared" si="10"/>
        <v>6041</v>
      </c>
      <c r="F80" s="13">
        <v>42234.529861111114</v>
      </c>
      <c r="G80" s="14">
        <v>154.26</v>
      </c>
      <c r="H80" s="15">
        <f t="shared" si="11"/>
        <v>15426</v>
      </c>
      <c r="I80" s="16">
        <f t="shared" si="12"/>
        <v>9385</v>
      </c>
      <c r="J80" s="19">
        <f t="shared" si="5"/>
        <v>1.5535507366330077</v>
      </c>
      <c r="K80" s="95" t="s">
        <v>320</v>
      </c>
      <c r="L80" s="140" t="s">
        <v>51</v>
      </c>
      <c r="M80" s="41">
        <f t="shared" si="13"/>
        <v>56.079</v>
      </c>
      <c r="N80" s="118">
        <v>77.93</v>
      </c>
      <c r="O80" s="116"/>
      <c r="P80" s="116" t="s">
        <v>80</v>
      </c>
      <c r="Q80" s="117"/>
      <c r="R80" s="118"/>
      <c r="S80" s="117"/>
      <c r="T80" s="116"/>
      <c r="V80" s="15"/>
    </row>
    <row r="81" spans="1:22" s="114" customFormat="1" ht="15">
      <c r="A81" s="12" t="s">
        <v>80</v>
      </c>
      <c r="B81" s="65">
        <v>42047.271527777775</v>
      </c>
      <c r="C81" s="14">
        <v>64.65</v>
      </c>
      <c r="D81" s="15">
        <v>100</v>
      </c>
      <c r="E81" s="15">
        <f t="shared" si="10"/>
        <v>6476.000000000001</v>
      </c>
      <c r="F81" s="13">
        <v>42234.529861111114</v>
      </c>
      <c r="G81" s="14">
        <v>154.26</v>
      </c>
      <c r="H81" s="15">
        <f t="shared" si="11"/>
        <v>15426</v>
      </c>
      <c r="I81" s="16">
        <f t="shared" si="12"/>
        <v>8950</v>
      </c>
      <c r="J81" s="19">
        <f t="shared" si="5"/>
        <v>1.3820259419394687</v>
      </c>
      <c r="K81" s="95" t="s">
        <v>321</v>
      </c>
      <c r="L81" s="140" t="s">
        <v>51</v>
      </c>
      <c r="M81" s="41">
        <f t="shared" si="13"/>
        <v>60.12450000000001</v>
      </c>
      <c r="N81" s="118">
        <v>77.93</v>
      </c>
      <c r="O81" s="116"/>
      <c r="P81" s="116" t="s">
        <v>80</v>
      </c>
      <c r="Q81" s="117"/>
      <c r="R81" s="118"/>
      <c r="S81" s="117"/>
      <c r="T81" s="116"/>
      <c r="V81" s="15"/>
    </row>
    <row r="82" spans="1:22" s="114" customFormat="1" ht="15">
      <c r="A82" s="12" t="s">
        <v>80</v>
      </c>
      <c r="B82" s="65">
        <v>42081.34097222222</v>
      </c>
      <c r="C82" s="14">
        <v>70</v>
      </c>
      <c r="D82" s="15">
        <v>120</v>
      </c>
      <c r="E82" s="15">
        <f t="shared" si="10"/>
        <v>8411</v>
      </c>
      <c r="F82" s="13">
        <v>42234.529861111114</v>
      </c>
      <c r="G82" s="14">
        <v>154.26</v>
      </c>
      <c r="H82" s="15">
        <f t="shared" si="11"/>
        <v>18511.199999999997</v>
      </c>
      <c r="I82" s="16">
        <f t="shared" si="12"/>
        <v>10100.199999999997</v>
      </c>
      <c r="J82" s="19">
        <f t="shared" si="5"/>
        <v>1.2008322434906666</v>
      </c>
      <c r="K82" s="95" t="s">
        <v>322</v>
      </c>
      <c r="L82" s="140" t="s">
        <v>51</v>
      </c>
      <c r="M82" s="41">
        <f t="shared" si="13"/>
        <v>65.10000000000001</v>
      </c>
      <c r="N82" s="118">
        <v>77.93</v>
      </c>
      <c r="O82" s="116"/>
      <c r="P82" s="116" t="s">
        <v>80</v>
      </c>
      <c r="Q82" s="117"/>
      <c r="R82" s="118"/>
      <c r="S82" s="117"/>
      <c r="T82" s="116"/>
      <c r="V82" s="15"/>
    </row>
    <row r="83" spans="1:22" s="114" customFormat="1" ht="15">
      <c r="A83" s="12" t="s">
        <v>80</v>
      </c>
      <c r="B83" s="65">
        <v>42117.55694444444</v>
      </c>
      <c r="C83" s="14">
        <v>77.75</v>
      </c>
      <c r="D83" s="15">
        <v>150</v>
      </c>
      <c r="E83" s="15">
        <f t="shared" si="10"/>
        <v>11673.5</v>
      </c>
      <c r="F83" s="13">
        <v>42234.529861111114</v>
      </c>
      <c r="G83" s="14">
        <v>154.26</v>
      </c>
      <c r="H83" s="15">
        <f t="shared" si="11"/>
        <v>23139</v>
      </c>
      <c r="I83" s="16">
        <f t="shared" si="12"/>
        <v>11465.5</v>
      </c>
      <c r="J83" s="19">
        <f t="shared" si="5"/>
        <v>0.9821818649076969</v>
      </c>
      <c r="K83" s="95" t="s">
        <v>323</v>
      </c>
      <c r="L83" s="140" t="s">
        <v>51</v>
      </c>
      <c r="M83" s="41">
        <f t="shared" si="13"/>
        <v>72.3075</v>
      </c>
      <c r="N83" s="118">
        <v>77.93</v>
      </c>
      <c r="O83" s="116"/>
      <c r="P83" s="116" t="s">
        <v>80</v>
      </c>
      <c r="Q83" s="117"/>
      <c r="R83" s="118"/>
      <c r="S83" s="117"/>
      <c r="T83" s="116"/>
      <c r="V83" s="15"/>
    </row>
    <row r="84" spans="1:23" s="114" customFormat="1" ht="15">
      <c r="A84" s="12" t="s">
        <v>80</v>
      </c>
      <c r="B84" s="65">
        <v>42128.525</v>
      </c>
      <c r="C84" s="14">
        <v>93.09</v>
      </c>
      <c r="D84" s="15">
        <v>180</v>
      </c>
      <c r="E84" s="15">
        <f t="shared" si="10"/>
        <v>16767.2</v>
      </c>
      <c r="F84" s="13">
        <v>42234.529861111114</v>
      </c>
      <c r="G84" s="14">
        <v>154.26</v>
      </c>
      <c r="H84" s="15">
        <f t="shared" si="11"/>
        <v>27766.8</v>
      </c>
      <c r="I84" s="16">
        <f t="shared" si="12"/>
        <v>10999.599999999999</v>
      </c>
      <c r="J84" s="19">
        <f t="shared" si="5"/>
        <v>0.6560188940312036</v>
      </c>
      <c r="K84" s="95" t="s">
        <v>324</v>
      </c>
      <c r="L84" s="140" t="s">
        <v>51</v>
      </c>
      <c r="M84" s="41">
        <f t="shared" si="13"/>
        <v>86.5737</v>
      </c>
      <c r="N84" s="118">
        <v>77.93</v>
      </c>
      <c r="O84" s="116"/>
      <c r="P84" s="116" t="s">
        <v>80</v>
      </c>
      <c r="Q84" s="117"/>
      <c r="R84" s="118"/>
      <c r="S84" s="117"/>
      <c r="T84" s="116"/>
      <c r="V84" s="15"/>
      <c r="W84" s="29"/>
    </row>
    <row r="85" spans="1:23" s="114" customFormat="1" ht="15">
      <c r="A85" s="12" t="s">
        <v>80</v>
      </c>
      <c r="B85" s="65">
        <v>42186.37847222222</v>
      </c>
      <c r="C85" s="14">
        <v>111.51</v>
      </c>
      <c r="D85" s="15">
        <v>210</v>
      </c>
      <c r="E85" s="15">
        <f t="shared" si="10"/>
        <v>23428.100000000002</v>
      </c>
      <c r="F85" s="13">
        <v>42234.529861111114</v>
      </c>
      <c r="G85" s="14">
        <v>154.26</v>
      </c>
      <c r="H85" s="15">
        <f t="shared" si="11"/>
        <v>32394.6</v>
      </c>
      <c r="I85" s="16">
        <f t="shared" si="12"/>
        <v>8966.499999999996</v>
      </c>
      <c r="J85" s="19">
        <f t="shared" si="5"/>
        <v>0.382724164571604</v>
      </c>
      <c r="K85" s="95" t="s">
        <v>326</v>
      </c>
      <c r="L85" s="140" t="s">
        <v>51</v>
      </c>
      <c r="M85" s="41">
        <f t="shared" si="13"/>
        <v>103.7043</v>
      </c>
      <c r="N85" s="118">
        <v>77.93</v>
      </c>
      <c r="O85" s="116"/>
      <c r="P85" s="116" t="s">
        <v>80</v>
      </c>
      <c r="Q85" s="117"/>
      <c r="R85" s="118"/>
      <c r="S85" s="117"/>
      <c r="T85" s="116"/>
      <c r="V85" s="15"/>
      <c r="W85" s="29"/>
    </row>
    <row r="86" spans="1:23" s="114" customFormat="1" ht="15">
      <c r="A86" s="12" t="s">
        <v>80</v>
      </c>
      <c r="B86" s="65">
        <v>42207.52222222222</v>
      </c>
      <c r="C86" s="14">
        <v>125.19</v>
      </c>
      <c r="D86" s="15">
        <v>250</v>
      </c>
      <c r="E86" s="15">
        <f t="shared" si="10"/>
        <v>31308.5</v>
      </c>
      <c r="F86" s="13">
        <v>42234.529861111114</v>
      </c>
      <c r="G86" s="14">
        <v>154.26</v>
      </c>
      <c r="H86" s="15">
        <f t="shared" si="11"/>
        <v>38565</v>
      </c>
      <c r="I86" s="16">
        <f t="shared" si="12"/>
        <v>7256.5</v>
      </c>
      <c r="J86" s="19">
        <f t="shared" si="5"/>
        <v>0.2317741188495137</v>
      </c>
      <c r="K86" s="95" t="s">
        <v>325</v>
      </c>
      <c r="L86" s="97">
        <v>139</v>
      </c>
      <c r="M86" s="41">
        <f t="shared" si="13"/>
        <v>116.42670000000001</v>
      </c>
      <c r="N86" s="118">
        <v>77.93</v>
      </c>
      <c r="O86" s="116"/>
      <c r="P86" s="116" t="s">
        <v>80</v>
      </c>
      <c r="Q86" s="117"/>
      <c r="R86" s="118"/>
      <c r="S86" s="117"/>
      <c r="T86" s="116"/>
      <c r="V86" s="15"/>
      <c r="W86" s="29"/>
    </row>
    <row r="87" spans="1:23" s="114" customFormat="1" ht="15">
      <c r="A87" s="12" t="s">
        <v>80</v>
      </c>
      <c r="B87" s="65">
        <v>42215.28888888889</v>
      </c>
      <c r="C87" s="14">
        <v>143.4</v>
      </c>
      <c r="D87" s="15">
        <v>300</v>
      </c>
      <c r="E87" s="15">
        <f t="shared" si="10"/>
        <v>43031</v>
      </c>
      <c r="F87" s="13">
        <v>42234.529861111114</v>
      </c>
      <c r="G87" s="14">
        <v>154.26</v>
      </c>
      <c r="H87" s="15">
        <f t="shared" si="11"/>
        <v>46278</v>
      </c>
      <c r="I87" s="16">
        <f t="shared" si="12"/>
        <v>3247</v>
      </c>
      <c r="J87" s="19">
        <f t="shared" si="5"/>
        <v>0.07545722850967906</v>
      </c>
      <c r="K87" s="95" t="s">
        <v>302</v>
      </c>
      <c r="L87" s="97">
        <v>139</v>
      </c>
      <c r="M87" s="41">
        <f t="shared" si="13"/>
        <v>133.36200000000002</v>
      </c>
      <c r="N87" s="118">
        <v>77.93</v>
      </c>
      <c r="O87" s="116"/>
      <c r="P87" s="116" t="s">
        <v>80</v>
      </c>
      <c r="Q87" s="117"/>
      <c r="R87" s="118"/>
      <c r="S87" s="117"/>
      <c r="T87" s="116"/>
      <c r="V87" s="15"/>
      <c r="W87" s="29"/>
    </row>
    <row r="88" spans="1:23" s="114" customFormat="1" ht="15">
      <c r="A88" s="12" t="s">
        <v>48</v>
      </c>
      <c r="B88" s="65">
        <v>42174.53472222222</v>
      </c>
      <c r="C88" s="14">
        <v>82.6</v>
      </c>
      <c r="D88" s="15">
        <v>950</v>
      </c>
      <c r="E88" s="15">
        <f>C88*D88+11</f>
        <v>78481</v>
      </c>
      <c r="F88" s="13">
        <v>42237.33194444444</v>
      </c>
      <c r="G88" s="14">
        <v>87.59</v>
      </c>
      <c r="H88" s="15">
        <f t="shared" si="11"/>
        <v>83210.5</v>
      </c>
      <c r="I88" s="16">
        <f t="shared" si="12"/>
        <v>4729.5</v>
      </c>
      <c r="J88" s="19">
        <f t="shared" si="5"/>
        <v>0.06026299359080542</v>
      </c>
      <c r="K88" s="95" t="s">
        <v>346</v>
      </c>
      <c r="L88" s="119">
        <v>84.85</v>
      </c>
      <c r="M88" s="41">
        <f>C88*0.93</f>
        <v>76.818</v>
      </c>
      <c r="N88" s="117">
        <v>103.69</v>
      </c>
      <c r="O88" s="121">
        <v>42230</v>
      </c>
      <c r="P88" s="116" t="s">
        <v>48</v>
      </c>
      <c r="Q88" s="117">
        <v>99.24</v>
      </c>
      <c r="R88" s="118">
        <f>Q88*0.855</f>
        <v>84.8502</v>
      </c>
      <c r="S88" s="117">
        <f>1.11*C88</f>
        <v>91.686</v>
      </c>
      <c r="T88" s="116"/>
      <c r="V88" s="15"/>
      <c r="W88" s="29"/>
    </row>
    <row r="89" spans="1:23" s="114" customFormat="1" ht="15">
      <c r="A89" s="12" t="s">
        <v>48</v>
      </c>
      <c r="B89" s="65">
        <v>42177.37013888889</v>
      </c>
      <c r="C89" s="14">
        <v>84.55</v>
      </c>
      <c r="D89" s="15">
        <v>550</v>
      </c>
      <c r="E89" s="15">
        <f>C89*D89+11</f>
        <v>46513.5</v>
      </c>
      <c r="F89" s="13">
        <v>42237.33194444444</v>
      </c>
      <c r="G89" s="14">
        <v>87.59</v>
      </c>
      <c r="H89" s="15">
        <f t="shared" si="11"/>
        <v>48174.5</v>
      </c>
      <c r="I89" s="16">
        <f t="shared" si="12"/>
        <v>1661</v>
      </c>
      <c r="J89" s="19">
        <f t="shared" si="5"/>
        <v>0.03571006266997753</v>
      </c>
      <c r="K89" s="95" t="s">
        <v>347</v>
      </c>
      <c r="L89" s="119">
        <v>84.85</v>
      </c>
      <c r="M89" s="41">
        <f>C89*0.93</f>
        <v>78.6315</v>
      </c>
      <c r="N89" s="117">
        <v>103.69</v>
      </c>
      <c r="O89" s="116"/>
      <c r="P89" s="116" t="s">
        <v>48</v>
      </c>
      <c r="Q89" s="117"/>
      <c r="R89" s="118"/>
      <c r="S89" s="117"/>
      <c r="T89" s="116"/>
      <c r="V89" s="15"/>
      <c r="W89" s="29"/>
    </row>
    <row r="90" spans="1:23" s="114" customFormat="1" ht="15">
      <c r="A90" s="12" t="s">
        <v>48</v>
      </c>
      <c r="B90" s="65">
        <v>42178.302777777775</v>
      </c>
      <c r="C90" s="14">
        <v>86.26</v>
      </c>
      <c r="D90" s="15">
        <v>350</v>
      </c>
      <c r="E90" s="15">
        <f>C90*D90+11</f>
        <v>30202</v>
      </c>
      <c r="F90" s="13">
        <v>42237.33194444444</v>
      </c>
      <c r="G90" s="14">
        <v>87.59</v>
      </c>
      <c r="H90" s="15">
        <f t="shared" si="11"/>
        <v>30656.5</v>
      </c>
      <c r="I90" s="16">
        <f t="shared" si="12"/>
        <v>454.5</v>
      </c>
      <c r="J90" s="19">
        <f t="shared" si="5"/>
        <v>0.01504867227335938</v>
      </c>
      <c r="K90" s="95" t="s">
        <v>348</v>
      </c>
      <c r="L90" s="119">
        <v>84.85</v>
      </c>
      <c r="M90" s="41">
        <f>C90*0.93</f>
        <v>80.22180000000002</v>
      </c>
      <c r="N90" s="117">
        <v>103.69</v>
      </c>
      <c r="O90" s="116"/>
      <c r="P90" s="116" t="s">
        <v>48</v>
      </c>
      <c r="Q90" s="117"/>
      <c r="R90" s="118"/>
      <c r="S90" s="117"/>
      <c r="T90" s="116"/>
      <c r="V90" s="15"/>
      <c r="W90" s="29"/>
    </row>
    <row r="91" spans="1:20" s="114" customFormat="1" ht="15">
      <c r="A91" s="12" t="s">
        <v>48</v>
      </c>
      <c r="B91" s="13">
        <v>42202.27291666667</v>
      </c>
      <c r="C91" s="14">
        <v>93.22</v>
      </c>
      <c r="D91" s="15">
        <v>370</v>
      </c>
      <c r="E91" s="15">
        <f>C91*D91+11</f>
        <v>34502.4</v>
      </c>
      <c r="F91" s="13">
        <v>42237.33194444444</v>
      </c>
      <c r="G91" s="14">
        <v>87.59</v>
      </c>
      <c r="H91" s="15">
        <f t="shared" si="11"/>
        <v>32408.300000000003</v>
      </c>
      <c r="I91" s="16">
        <f t="shared" si="12"/>
        <v>-2094.0999999999985</v>
      </c>
      <c r="J91" s="19">
        <f t="shared" si="5"/>
        <v>-0.060694328510480386</v>
      </c>
      <c r="K91" s="95" t="s">
        <v>349</v>
      </c>
      <c r="L91" s="119"/>
      <c r="M91" s="20">
        <f>C91*0.93</f>
        <v>86.69460000000001</v>
      </c>
      <c r="N91" s="117">
        <v>103.69</v>
      </c>
      <c r="P91" s="116" t="s">
        <v>48</v>
      </c>
      <c r="Q91" s="117"/>
      <c r="R91" s="117"/>
      <c r="S91" s="117"/>
      <c r="T91" s="116"/>
    </row>
    <row r="92" spans="1:22" s="114" customFormat="1" ht="15">
      <c r="A92" s="12" t="s">
        <v>208</v>
      </c>
      <c r="B92" s="65">
        <v>42090.308333333334</v>
      </c>
      <c r="C92" s="14">
        <v>214</v>
      </c>
      <c r="D92" s="15">
        <v>95</v>
      </c>
      <c r="E92" s="15">
        <f aca="true" t="shared" si="14" ref="E92:E109">C92*D92+11</f>
        <v>20341</v>
      </c>
      <c r="F92" s="13">
        <v>42237.495833333334</v>
      </c>
      <c r="G92" s="14">
        <v>240.24</v>
      </c>
      <c r="H92" s="15">
        <f t="shared" si="11"/>
        <v>22822.8</v>
      </c>
      <c r="I92" s="16">
        <f t="shared" si="12"/>
        <v>2481.7999999999993</v>
      </c>
      <c r="J92" s="19">
        <f t="shared" si="5"/>
        <v>0.12200973403470819</v>
      </c>
      <c r="K92" s="95" t="s">
        <v>338</v>
      </c>
      <c r="L92" s="119">
        <v>220.72</v>
      </c>
      <c r="M92" s="41">
        <f aca="true" t="shared" si="15" ref="M92:M109">C92*0.93</f>
        <v>199.02</v>
      </c>
      <c r="N92" s="118">
        <v>267.7</v>
      </c>
      <c r="O92" s="121">
        <v>42136</v>
      </c>
      <c r="P92" s="116" t="s">
        <v>208</v>
      </c>
      <c r="Q92" s="117">
        <v>258.15</v>
      </c>
      <c r="R92" s="118">
        <f>Q92*0.855</f>
        <v>220.71824999999998</v>
      </c>
      <c r="S92" s="117">
        <f>1.11*C92</f>
        <v>237.54000000000002</v>
      </c>
      <c r="T92" s="116"/>
      <c r="U92" s="117"/>
      <c r="V92" s="15"/>
    </row>
    <row r="93" spans="1:22" s="114" customFormat="1" ht="15">
      <c r="A93" s="12" t="s">
        <v>208</v>
      </c>
      <c r="B93" s="65">
        <v>42093.29305555556</v>
      </c>
      <c r="C93" s="14">
        <v>219.41</v>
      </c>
      <c r="D93" s="15">
        <v>55</v>
      </c>
      <c r="E93" s="15">
        <f t="shared" si="14"/>
        <v>12078.55</v>
      </c>
      <c r="F93" s="13">
        <v>42237.495833333334</v>
      </c>
      <c r="G93" s="14">
        <v>240.24</v>
      </c>
      <c r="H93" s="15">
        <f t="shared" si="11"/>
        <v>13213.2</v>
      </c>
      <c r="I93" s="16">
        <f t="shared" si="12"/>
        <v>1134.6500000000015</v>
      </c>
      <c r="J93" s="19">
        <f t="shared" si="5"/>
        <v>0.0939392559537363</v>
      </c>
      <c r="K93" s="95" t="s">
        <v>339</v>
      </c>
      <c r="L93" s="119">
        <v>220.72</v>
      </c>
      <c r="M93" s="41">
        <f t="shared" si="15"/>
        <v>204.0513</v>
      </c>
      <c r="N93" s="118">
        <v>267.7</v>
      </c>
      <c r="O93" s="116"/>
      <c r="P93" s="116" t="s">
        <v>208</v>
      </c>
      <c r="Q93" s="117"/>
      <c r="R93" s="118"/>
      <c r="S93" s="117"/>
      <c r="T93" s="116"/>
      <c r="V93" s="15"/>
    </row>
    <row r="94" spans="1:23" s="114" customFormat="1" ht="15">
      <c r="A94" s="12" t="s">
        <v>208</v>
      </c>
      <c r="B94" s="65">
        <v>42117.27569444444</v>
      </c>
      <c r="C94" s="14">
        <v>226.35</v>
      </c>
      <c r="D94" s="15">
        <v>35</v>
      </c>
      <c r="E94" s="15">
        <f t="shared" si="14"/>
        <v>7933.25</v>
      </c>
      <c r="F94" s="13">
        <v>42237.495833333334</v>
      </c>
      <c r="G94" s="14">
        <v>240.24</v>
      </c>
      <c r="H94" s="15">
        <f t="shared" si="11"/>
        <v>8408.4</v>
      </c>
      <c r="I94" s="16">
        <f t="shared" si="12"/>
        <v>475.14999999999964</v>
      </c>
      <c r="J94" s="19">
        <f t="shared" si="5"/>
        <v>0.0598934862761163</v>
      </c>
      <c r="K94" s="95" t="s">
        <v>340</v>
      </c>
      <c r="L94" s="119">
        <v>220.72</v>
      </c>
      <c r="M94" s="41">
        <f t="shared" si="15"/>
        <v>210.5055</v>
      </c>
      <c r="N94" s="118">
        <v>267.7</v>
      </c>
      <c r="O94" s="116"/>
      <c r="P94" s="116" t="s">
        <v>208</v>
      </c>
      <c r="Q94" s="117"/>
      <c r="R94" s="118"/>
      <c r="S94" s="117"/>
      <c r="T94" s="116"/>
      <c r="V94" s="15"/>
      <c r="W94" s="29"/>
    </row>
    <row r="95" spans="1:20" s="114" customFormat="1" ht="15">
      <c r="A95" s="12" t="s">
        <v>36</v>
      </c>
      <c r="B95" s="13">
        <v>42240.27222222222</v>
      </c>
      <c r="C95" s="14">
        <v>200</v>
      </c>
      <c r="D95" s="15">
        <v>400</v>
      </c>
      <c r="E95" s="15">
        <f t="shared" si="14"/>
        <v>80011</v>
      </c>
      <c r="F95" s="152">
        <v>42235.49930555555</v>
      </c>
      <c r="G95" s="150">
        <v>256.06</v>
      </c>
      <c r="H95" s="151">
        <f t="shared" si="11"/>
        <v>102424</v>
      </c>
      <c r="I95" s="16">
        <f t="shared" si="12"/>
        <v>22413</v>
      </c>
      <c r="J95" s="19">
        <f t="shared" si="5"/>
        <v>0.28012398295234403</v>
      </c>
      <c r="K95" s="95" t="s">
        <v>360</v>
      </c>
      <c r="L95" s="154">
        <v>262</v>
      </c>
      <c r="M95" s="153">
        <f t="shared" si="15"/>
        <v>186</v>
      </c>
      <c r="N95" s="117"/>
      <c r="O95" s="114" t="s">
        <v>357</v>
      </c>
      <c r="P95" s="116" t="s">
        <v>36</v>
      </c>
      <c r="Q95" s="117"/>
      <c r="R95" s="117"/>
      <c r="S95" s="117"/>
      <c r="T95" s="116"/>
    </row>
    <row r="96" spans="1:20" s="114" customFormat="1" ht="15">
      <c r="A96" s="12" t="s">
        <v>355</v>
      </c>
      <c r="B96" s="157">
        <v>42240.279861111114</v>
      </c>
      <c r="C96" s="14">
        <v>90.07</v>
      </c>
      <c r="D96" s="15">
        <v>750</v>
      </c>
      <c r="E96" s="15">
        <f t="shared" si="14"/>
        <v>67563.5</v>
      </c>
      <c r="F96" s="152">
        <v>42227.27777777778</v>
      </c>
      <c r="G96" s="150">
        <v>115.2</v>
      </c>
      <c r="H96" s="151">
        <f t="shared" si="11"/>
        <v>86400</v>
      </c>
      <c r="I96" s="16">
        <f t="shared" si="12"/>
        <v>18836.5</v>
      </c>
      <c r="J96" s="19">
        <f t="shared" si="5"/>
        <v>0.27879698357841143</v>
      </c>
      <c r="K96" s="95" t="s">
        <v>358</v>
      </c>
      <c r="L96" s="154">
        <v>117.5</v>
      </c>
      <c r="M96" s="153">
        <f t="shared" si="15"/>
        <v>83.7651</v>
      </c>
      <c r="N96" s="117"/>
      <c r="O96" s="114" t="s">
        <v>357</v>
      </c>
      <c r="P96" s="116" t="s">
        <v>356</v>
      </c>
      <c r="Q96" s="117"/>
      <c r="R96" s="117"/>
      <c r="S96" s="117"/>
      <c r="T96" s="116"/>
    </row>
    <row r="97" spans="1:20" s="114" customFormat="1" ht="15">
      <c r="A97" s="12" t="s">
        <v>40</v>
      </c>
      <c r="B97" s="13">
        <v>42242.4875</v>
      </c>
      <c r="C97" s="14">
        <v>193.04</v>
      </c>
      <c r="D97" s="15">
        <v>500</v>
      </c>
      <c r="E97" s="15">
        <f t="shared" si="14"/>
        <v>96531</v>
      </c>
      <c r="F97" s="152">
        <v>42221.36666666667</v>
      </c>
      <c r="G97" s="150">
        <v>217.87</v>
      </c>
      <c r="H97" s="151">
        <f t="shared" si="11"/>
        <v>108935</v>
      </c>
      <c r="I97" s="16">
        <f t="shared" si="12"/>
        <v>12404</v>
      </c>
      <c r="J97" s="19">
        <f aca="true" t="shared" si="16" ref="J97:J109">I97/E97</f>
        <v>0.12849758108794065</v>
      </c>
      <c r="K97" s="95" t="s">
        <v>336</v>
      </c>
      <c r="L97" s="154">
        <v>218.5</v>
      </c>
      <c r="M97" s="153">
        <f t="shared" si="15"/>
        <v>179.5272</v>
      </c>
      <c r="N97" s="117"/>
      <c r="O97" s="114" t="s">
        <v>357</v>
      </c>
      <c r="P97" s="116" t="s">
        <v>40</v>
      </c>
      <c r="Q97" s="117"/>
      <c r="R97" s="117"/>
      <c r="S97" s="117"/>
      <c r="T97" s="116"/>
    </row>
    <row r="98" spans="1:20" s="114" customFormat="1" ht="15">
      <c r="A98" s="12" t="s">
        <v>65</v>
      </c>
      <c r="B98" s="13">
        <v>42221.27638888889</v>
      </c>
      <c r="C98" s="14">
        <v>36.01</v>
      </c>
      <c r="D98" s="15">
        <v>2800</v>
      </c>
      <c r="E98" s="15">
        <f t="shared" si="14"/>
        <v>100839</v>
      </c>
      <c r="F98" s="13">
        <v>42263.53611111111</v>
      </c>
      <c r="G98" s="14">
        <v>38.03</v>
      </c>
      <c r="H98" s="15">
        <f t="shared" si="11"/>
        <v>106484</v>
      </c>
      <c r="I98" s="16">
        <f t="shared" si="12"/>
        <v>5645</v>
      </c>
      <c r="J98" s="19">
        <f t="shared" si="16"/>
        <v>0.055980325072640544</v>
      </c>
      <c r="K98" s="95" t="s">
        <v>399</v>
      </c>
      <c r="L98" s="119">
        <v>35.55</v>
      </c>
      <c r="M98" s="41">
        <f t="shared" si="15"/>
        <v>33.4893</v>
      </c>
      <c r="N98" s="117">
        <v>40.96</v>
      </c>
      <c r="O98" s="121">
        <v>42290</v>
      </c>
      <c r="P98" s="116" t="s">
        <v>65</v>
      </c>
      <c r="Q98" s="117">
        <v>41.58</v>
      </c>
      <c r="R98" s="118">
        <f>Q98*0.855</f>
        <v>35.5509</v>
      </c>
      <c r="S98" s="117">
        <f>1.11*C98</f>
        <v>39.9711</v>
      </c>
      <c r="T98" s="116"/>
    </row>
    <row r="99" spans="1:20" s="114" customFormat="1" ht="15">
      <c r="A99" s="12" t="s">
        <v>65</v>
      </c>
      <c r="B99" s="13">
        <v>42221.322222222225</v>
      </c>
      <c r="C99" s="14">
        <v>37.24</v>
      </c>
      <c r="D99" s="15">
        <v>1700</v>
      </c>
      <c r="E99" s="15">
        <f t="shared" si="14"/>
        <v>63319</v>
      </c>
      <c r="F99" s="13">
        <v>42263.53611111111</v>
      </c>
      <c r="G99" s="14">
        <v>38.03</v>
      </c>
      <c r="H99" s="15">
        <f t="shared" si="11"/>
        <v>64651</v>
      </c>
      <c r="I99" s="16">
        <f t="shared" si="12"/>
        <v>1332</v>
      </c>
      <c r="J99" s="19">
        <f t="shared" si="16"/>
        <v>0.021036339803218625</v>
      </c>
      <c r="K99" s="95" t="s">
        <v>400</v>
      </c>
      <c r="L99" s="119">
        <v>35.55</v>
      </c>
      <c r="M99" s="41">
        <f t="shared" si="15"/>
        <v>34.6332</v>
      </c>
      <c r="N99" s="117">
        <v>40.96</v>
      </c>
      <c r="P99" s="116" t="s">
        <v>65</v>
      </c>
      <c r="Q99" s="117"/>
      <c r="R99" s="117"/>
      <c r="S99" s="117"/>
      <c r="T99" s="116"/>
    </row>
    <row r="100" spans="1:20" s="114" customFormat="1" ht="15">
      <c r="A100" s="12" t="s">
        <v>65</v>
      </c>
      <c r="B100" s="13">
        <v>42221.35763888889</v>
      </c>
      <c r="C100" s="14">
        <v>37.53</v>
      </c>
      <c r="D100" s="15">
        <v>1000</v>
      </c>
      <c r="E100" s="15">
        <f t="shared" si="14"/>
        <v>37541</v>
      </c>
      <c r="F100" s="13">
        <v>42263.53611111111</v>
      </c>
      <c r="G100" s="14">
        <v>38.03</v>
      </c>
      <c r="H100" s="15">
        <f t="shared" si="11"/>
        <v>38030</v>
      </c>
      <c r="I100" s="16">
        <f t="shared" si="12"/>
        <v>489</v>
      </c>
      <c r="J100" s="19">
        <f t="shared" si="16"/>
        <v>0.013025758504035588</v>
      </c>
      <c r="K100" s="95" t="s">
        <v>401</v>
      </c>
      <c r="L100" s="119">
        <v>35.55</v>
      </c>
      <c r="M100" s="41">
        <f t="shared" si="15"/>
        <v>34.9029</v>
      </c>
      <c r="N100" s="117">
        <v>40.96</v>
      </c>
      <c r="P100" s="116" t="s">
        <v>65</v>
      </c>
      <c r="Q100" s="117"/>
      <c r="R100" s="117"/>
      <c r="S100" s="117"/>
      <c r="T100" s="116"/>
    </row>
    <row r="101" spans="1:20" s="114" customFormat="1" ht="15">
      <c r="A101" s="12" t="s">
        <v>390</v>
      </c>
      <c r="B101" s="13">
        <v>42250.32430555556</v>
      </c>
      <c r="C101" s="14">
        <v>74.24</v>
      </c>
      <c r="D101" s="15">
        <v>1350</v>
      </c>
      <c r="E101" s="15">
        <f t="shared" si="14"/>
        <v>100235</v>
      </c>
      <c r="F101" s="13">
        <v>42272.53402777778</v>
      </c>
      <c r="G101" s="14">
        <v>72.08</v>
      </c>
      <c r="H101" s="15">
        <f t="shared" si="11"/>
        <v>97308</v>
      </c>
      <c r="I101" s="16">
        <f t="shared" si="12"/>
        <v>-2927</v>
      </c>
      <c r="J101" s="19">
        <f t="shared" si="16"/>
        <v>-0.029201376764603184</v>
      </c>
      <c r="K101" s="95" t="s">
        <v>409</v>
      </c>
      <c r="L101" s="119"/>
      <c r="M101" s="20">
        <f t="shared" si="15"/>
        <v>69.0432</v>
      </c>
      <c r="N101" s="117">
        <v>92.48</v>
      </c>
      <c r="O101" s="121">
        <v>42275</v>
      </c>
      <c r="P101" s="116" t="s">
        <v>390</v>
      </c>
      <c r="Q101" s="117">
        <v>81.54</v>
      </c>
      <c r="R101" s="118"/>
      <c r="S101" s="117">
        <f>1.11*C101</f>
        <v>82.4064</v>
      </c>
      <c r="T101" s="116"/>
    </row>
    <row r="102" spans="1:20" s="114" customFormat="1" ht="15">
      <c r="A102" s="12" t="s">
        <v>390</v>
      </c>
      <c r="B102" s="13">
        <v>42255.49652777778</v>
      </c>
      <c r="C102" s="14">
        <v>76.19</v>
      </c>
      <c r="D102" s="15">
        <v>790</v>
      </c>
      <c r="E102" s="15">
        <f t="shared" si="14"/>
        <v>60201.1</v>
      </c>
      <c r="F102" s="13">
        <v>42272.53402777778</v>
      </c>
      <c r="G102" s="14">
        <v>72.08</v>
      </c>
      <c r="H102" s="15">
        <f t="shared" si="11"/>
        <v>56943.2</v>
      </c>
      <c r="I102" s="16">
        <f t="shared" si="12"/>
        <v>-3257.9000000000015</v>
      </c>
      <c r="J102" s="19">
        <f t="shared" si="16"/>
        <v>-0.05411695135138729</v>
      </c>
      <c r="K102" s="95" t="s">
        <v>410</v>
      </c>
      <c r="L102" s="119"/>
      <c r="M102" s="20">
        <f t="shared" si="15"/>
        <v>70.8567</v>
      </c>
      <c r="N102" s="117">
        <v>92.48</v>
      </c>
      <c r="O102" s="87"/>
      <c r="P102" s="116" t="s">
        <v>390</v>
      </c>
      <c r="Q102" s="117"/>
      <c r="R102" s="118"/>
      <c r="S102" s="117"/>
      <c r="T102" s="116"/>
    </row>
    <row r="103" spans="1:20" s="114" customFormat="1" ht="15">
      <c r="A103" s="12" t="s">
        <v>390</v>
      </c>
      <c r="B103" s="13">
        <v>42256.27569444444</v>
      </c>
      <c r="C103" s="14">
        <v>77.75</v>
      </c>
      <c r="D103" s="15">
        <v>510</v>
      </c>
      <c r="E103" s="15">
        <f t="shared" si="14"/>
        <v>39663.5</v>
      </c>
      <c r="F103" s="13">
        <v>42272.53402777778</v>
      </c>
      <c r="G103" s="14">
        <v>72.08</v>
      </c>
      <c r="H103" s="15">
        <f t="shared" si="11"/>
        <v>36760.799999999996</v>
      </c>
      <c r="I103" s="16">
        <f t="shared" si="12"/>
        <v>-2902.7000000000044</v>
      </c>
      <c r="J103" s="19">
        <f t="shared" si="16"/>
        <v>-0.07318315327694239</v>
      </c>
      <c r="K103" s="95" t="s">
        <v>411</v>
      </c>
      <c r="L103" s="119"/>
      <c r="M103" s="20">
        <f t="shared" si="15"/>
        <v>72.3075</v>
      </c>
      <c r="N103" s="117">
        <v>92.48</v>
      </c>
      <c r="O103" s="87"/>
      <c r="P103" s="116" t="s">
        <v>390</v>
      </c>
      <c r="Q103" s="117"/>
      <c r="R103" s="118"/>
      <c r="S103" s="117"/>
      <c r="T103" s="116"/>
    </row>
    <row r="104" spans="1:20" s="114" customFormat="1" ht="15">
      <c r="A104" s="85" t="s">
        <v>418</v>
      </c>
      <c r="B104" s="13">
        <v>42268.30138888889</v>
      </c>
      <c r="C104" s="14">
        <v>20.45</v>
      </c>
      <c r="D104" s="15">
        <v>4900</v>
      </c>
      <c r="E104" s="15">
        <f t="shared" si="14"/>
        <v>100216</v>
      </c>
      <c r="F104" s="13">
        <v>42269.535416666666</v>
      </c>
      <c r="G104" s="14">
        <v>19.77</v>
      </c>
      <c r="H104" s="15">
        <f t="shared" si="11"/>
        <v>96873</v>
      </c>
      <c r="I104" s="16">
        <f t="shared" si="12"/>
        <v>-3343</v>
      </c>
      <c r="J104" s="19">
        <f t="shared" si="16"/>
        <v>-0.033357946834836755</v>
      </c>
      <c r="K104" s="95" t="s">
        <v>419</v>
      </c>
      <c r="L104" s="119"/>
      <c r="M104" s="20">
        <f t="shared" si="15"/>
        <v>19.0185</v>
      </c>
      <c r="N104" s="117">
        <v>25.4</v>
      </c>
      <c r="O104" s="87"/>
      <c r="P104" s="116" t="s">
        <v>418</v>
      </c>
      <c r="Q104" s="117"/>
      <c r="R104" s="118"/>
      <c r="S104" s="117">
        <f>1.11*C104</f>
        <v>22.6995</v>
      </c>
      <c r="T104" s="116"/>
    </row>
    <row r="105" spans="1:20" s="114" customFormat="1" ht="15">
      <c r="A105" s="12" t="s">
        <v>73</v>
      </c>
      <c r="B105" s="13">
        <v>42272.27638888889</v>
      </c>
      <c r="C105" s="14">
        <v>28.4</v>
      </c>
      <c r="D105" s="15">
        <v>3600</v>
      </c>
      <c r="E105" s="15">
        <f t="shared" si="14"/>
        <v>102251</v>
      </c>
      <c r="F105" s="13">
        <v>42275.53333333333</v>
      </c>
      <c r="G105" s="14">
        <v>27.35</v>
      </c>
      <c r="H105" s="15">
        <f t="shared" si="11"/>
        <v>98460</v>
      </c>
      <c r="I105" s="16">
        <f t="shared" si="12"/>
        <v>-3791</v>
      </c>
      <c r="J105" s="19">
        <f t="shared" si="16"/>
        <v>-0.037075432025114666</v>
      </c>
      <c r="K105" s="95" t="s">
        <v>424</v>
      </c>
      <c r="L105" s="119"/>
      <c r="M105" s="20">
        <f t="shared" si="15"/>
        <v>26.412</v>
      </c>
      <c r="N105" s="117">
        <v>36.2</v>
      </c>
      <c r="O105" s="87"/>
      <c r="P105" s="116" t="s">
        <v>73</v>
      </c>
      <c r="Q105" s="117"/>
      <c r="R105" s="118"/>
      <c r="S105" s="117">
        <f>1.11*C105</f>
        <v>31.524</v>
      </c>
      <c r="T105" s="116"/>
    </row>
    <row r="106" spans="1:20" s="114" customFormat="1" ht="15">
      <c r="A106" s="85" t="s">
        <v>433</v>
      </c>
      <c r="B106" s="13">
        <v>42282.373611111114</v>
      </c>
      <c r="C106" s="14">
        <v>187.34</v>
      </c>
      <c r="D106" s="15">
        <v>320</v>
      </c>
      <c r="E106" s="15">
        <f t="shared" si="14"/>
        <v>59959.8</v>
      </c>
      <c r="F106" s="13">
        <v>42286.535416666666</v>
      </c>
      <c r="G106" s="14">
        <v>188.07</v>
      </c>
      <c r="H106" s="15">
        <f t="shared" si="11"/>
        <v>60182.399999999994</v>
      </c>
      <c r="I106" s="16">
        <f t="shared" si="12"/>
        <v>222.59999999999127</v>
      </c>
      <c r="J106" s="19">
        <f t="shared" si="16"/>
        <v>0.003712487366535433</v>
      </c>
      <c r="K106" s="95" t="s">
        <v>448</v>
      </c>
      <c r="L106" s="119"/>
      <c r="M106" s="20">
        <f t="shared" si="15"/>
        <v>174.2262</v>
      </c>
      <c r="N106" s="117">
        <v>232.76</v>
      </c>
      <c r="O106" s="87"/>
      <c r="P106" s="116" t="s">
        <v>433</v>
      </c>
      <c r="Q106" s="117"/>
      <c r="R106" s="118"/>
      <c r="S106" s="117"/>
      <c r="T106" s="116"/>
    </row>
    <row r="107" spans="1:20" s="114" customFormat="1" ht="15">
      <c r="A107" s="12" t="s">
        <v>73</v>
      </c>
      <c r="B107" s="13">
        <v>42277.27777777778</v>
      </c>
      <c r="C107" s="14">
        <v>28.8</v>
      </c>
      <c r="D107" s="15">
        <v>3500</v>
      </c>
      <c r="E107" s="15">
        <f t="shared" si="14"/>
        <v>100811</v>
      </c>
      <c r="F107" s="13">
        <v>42307.52569444444</v>
      </c>
      <c r="G107" s="14">
        <v>31.94</v>
      </c>
      <c r="H107" s="15">
        <f t="shared" si="11"/>
        <v>111790</v>
      </c>
      <c r="I107" s="16">
        <f t="shared" si="12"/>
        <v>10979</v>
      </c>
      <c r="J107" s="19">
        <f t="shared" si="16"/>
        <v>0.10890676612671236</v>
      </c>
      <c r="K107" s="95" t="s">
        <v>454</v>
      </c>
      <c r="L107" s="119">
        <v>32.05</v>
      </c>
      <c r="M107" s="41">
        <f t="shared" si="15"/>
        <v>26.784000000000002</v>
      </c>
      <c r="N107" s="117">
        <v>36.2</v>
      </c>
      <c r="O107" s="87"/>
      <c r="P107" s="116" t="s">
        <v>73</v>
      </c>
      <c r="Q107" s="117">
        <v>37.49</v>
      </c>
      <c r="R107" s="118">
        <f>Q107*0.855</f>
        <v>32.05395</v>
      </c>
      <c r="S107" s="117">
        <f>1.11*C107</f>
        <v>31.968000000000004</v>
      </c>
      <c r="T107" s="116"/>
    </row>
    <row r="108" spans="1:20" s="114" customFormat="1" ht="15">
      <c r="A108" s="12" t="s">
        <v>73</v>
      </c>
      <c r="B108" s="13">
        <v>42277.30972222222</v>
      </c>
      <c r="C108" s="14">
        <v>29.12</v>
      </c>
      <c r="D108" s="15">
        <v>2100</v>
      </c>
      <c r="E108" s="15">
        <f t="shared" si="14"/>
        <v>61163</v>
      </c>
      <c r="F108" s="13">
        <v>42307.52569444444</v>
      </c>
      <c r="G108" s="14">
        <v>31.94</v>
      </c>
      <c r="H108" s="15">
        <f t="shared" si="11"/>
        <v>67074</v>
      </c>
      <c r="I108" s="16">
        <f t="shared" si="12"/>
        <v>5911</v>
      </c>
      <c r="J108" s="19">
        <f t="shared" si="16"/>
        <v>0.09664339551689748</v>
      </c>
      <c r="K108" s="95" t="s">
        <v>455</v>
      </c>
      <c r="L108" s="119">
        <v>32.05</v>
      </c>
      <c r="M108" s="41">
        <f t="shared" si="15"/>
        <v>27.0816</v>
      </c>
      <c r="N108" s="117">
        <v>36.2</v>
      </c>
      <c r="O108" s="87"/>
      <c r="P108" s="116" t="s">
        <v>73</v>
      </c>
      <c r="Q108" s="117"/>
      <c r="R108" s="118"/>
      <c r="S108" s="117"/>
      <c r="T108" s="116"/>
    </row>
    <row r="109" spans="1:20" s="114" customFormat="1" ht="15">
      <c r="A109" s="12" t="s">
        <v>73</v>
      </c>
      <c r="B109" s="13">
        <v>42277.34652777778</v>
      </c>
      <c r="C109" s="14">
        <v>29.74</v>
      </c>
      <c r="D109" s="15">
        <v>1350</v>
      </c>
      <c r="E109" s="15">
        <f t="shared" si="14"/>
        <v>40160</v>
      </c>
      <c r="F109" s="13">
        <v>42307.52569444444</v>
      </c>
      <c r="G109" s="14">
        <v>31.94</v>
      </c>
      <c r="H109" s="15">
        <f t="shared" si="11"/>
        <v>43119</v>
      </c>
      <c r="I109" s="16">
        <f t="shared" si="12"/>
        <v>2959</v>
      </c>
      <c r="J109" s="19">
        <f t="shared" si="16"/>
        <v>0.07368027888446216</v>
      </c>
      <c r="K109" s="95" t="s">
        <v>456</v>
      </c>
      <c r="L109" s="119">
        <v>32.05</v>
      </c>
      <c r="M109" s="41">
        <f t="shared" si="15"/>
        <v>27.6582</v>
      </c>
      <c r="N109" s="117">
        <v>36.2</v>
      </c>
      <c r="O109" s="87"/>
      <c r="P109" s="116" t="s">
        <v>73</v>
      </c>
      <c r="Q109" s="117"/>
      <c r="R109" s="118"/>
      <c r="S109" s="117"/>
      <c r="T109" s="116"/>
    </row>
    <row r="110" spans="5:10" ht="15">
      <c r="E110" s="29"/>
      <c r="J110" s="19"/>
    </row>
    <row r="111" ht="15">
      <c r="I111" s="16"/>
    </row>
    <row r="112" spans="1:9" ht="15">
      <c r="A112" s="101" t="s">
        <v>31</v>
      </c>
      <c r="I112" s="16">
        <f>SUM(I3:I111)</f>
        <v>470445.20999999996</v>
      </c>
    </row>
    <row r="119" ht="15">
      <c r="I119" s="29">
        <f>SUM(I95:I97)</f>
        <v>53653.5</v>
      </c>
    </row>
    <row r="122" ht="15">
      <c r="I122" s="29">
        <f>I112-I119</f>
        <v>416791.70999999996</v>
      </c>
    </row>
  </sheetData>
  <mergeCells count="1">
    <mergeCell ref="B1:N1"/>
  </mergeCells>
  <conditionalFormatting sqref="J1:J2 C1:D2">
    <cfRule type="cellIs" priority="261" dxfId="0" operator="lessThan">
      <formula>0</formula>
    </cfRule>
  </conditionalFormatting>
  <conditionalFormatting sqref="J110">
    <cfRule type="cellIs" priority="112" dxfId="0" operator="lessThan">
      <formula>0</formula>
    </cfRule>
  </conditionalFormatting>
  <conditionalFormatting sqref="J3:J4 C3:D4">
    <cfRule type="cellIs" priority="47" dxfId="0" operator="lessThan">
      <formula>0</formula>
    </cfRule>
  </conditionalFormatting>
  <conditionalFormatting sqref="J5:J7 C5:D7">
    <cfRule type="cellIs" priority="46" dxfId="0" operator="lessThan">
      <formula>0</formula>
    </cfRule>
  </conditionalFormatting>
  <conditionalFormatting sqref="C8:D10 J8:J10">
    <cfRule type="cellIs" priority="45" dxfId="0" operator="lessThan">
      <formula>0</formula>
    </cfRule>
  </conditionalFormatting>
  <conditionalFormatting sqref="J11:J14 C11:D14">
    <cfRule type="cellIs" priority="44" dxfId="0" operator="lessThan">
      <formula>0</formula>
    </cfRule>
  </conditionalFormatting>
  <conditionalFormatting sqref="J15:J18">
    <cfRule type="cellIs" priority="43" dxfId="0" operator="lessThan">
      <formula>0</formula>
    </cfRule>
  </conditionalFormatting>
  <conditionalFormatting sqref="C16:D18">
    <cfRule type="cellIs" priority="42" dxfId="0" operator="lessThan">
      <formula>0</formula>
    </cfRule>
  </conditionalFormatting>
  <conditionalFormatting sqref="C15:D15">
    <cfRule type="cellIs" priority="41" dxfId="0" operator="lessThan">
      <formula>0</formula>
    </cfRule>
  </conditionalFormatting>
  <conditionalFormatting sqref="J19:J23 C19:D19">
    <cfRule type="cellIs" priority="40" dxfId="0" operator="lessThan">
      <formula>0</formula>
    </cfRule>
  </conditionalFormatting>
  <conditionalFormatting sqref="C20:D23">
    <cfRule type="cellIs" priority="39" dxfId="0" operator="lessThan">
      <formula>0</formula>
    </cfRule>
  </conditionalFormatting>
  <conditionalFormatting sqref="J24:J27 C24:D27">
    <cfRule type="cellIs" priority="38" dxfId="0" operator="lessThan">
      <formula>0</formula>
    </cfRule>
  </conditionalFormatting>
  <conditionalFormatting sqref="C28:D28 J28">
    <cfRule type="cellIs" priority="37" dxfId="0" operator="lessThan">
      <formula>0</formula>
    </cfRule>
  </conditionalFormatting>
  <conditionalFormatting sqref="C29:D32">
    <cfRule type="cellIs" priority="36" dxfId="0" operator="lessThan">
      <formula>0</formula>
    </cfRule>
  </conditionalFormatting>
  <conditionalFormatting sqref="J29:J32">
    <cfRule type="cellIs" priority="35" dxfId="0" operator="lessThan">
      <formula>0</formula>
    </cfRule>
  </conditionalFormatting>
  <conditionalFormatting sqref="C33:D37 J33:J37 J39 C39:D39">
    <cfRule type="cellIs" priority="34" dxfId="0" operator="lessThan">
      <formula>0</formula>
    </cfRule>
  </conditionalFormatting>
  <conditionalFormatting sqref="C38:D38 J38">
    <cfRule type="cellIs" priority="33" dxfId="0" operator="lessThan">
      <formula>0</formula>
    </cfRule>
  </conditionalFormatting>
  <conditionalFormatting sqref="J40:J43 C40:D43">
    <cfRule type="cellIs" priority="32" dxfId="0" operator="lessThan">
      <formula>0</formula>
    </cfRule>
  </conditionalFormatting>
  <conditionalFormatting sqref="C44:D49 J44:J49">
    <cfRule type="cellIs" priority="31" dxfId="0" operator="lessThan">
      <formula>0</formula>
    </cfRule>
  </conditionalFormatting>
  <conditionalFormatting sqref="C50:D51 J50:J51">
    <cfRule type="cellIs" priority="30" dxfId="0" operator="lessThan">
      <formula>0</formula>
    </cfRule>
  </conditionalFormatting>
  <conditionalFormatting sqref="J52 C52:D52">
    <cfRule type="cellIs" priority="29" dxfId="0" operator="lessThan">
      <formula>0</formula>
    </cfRule>
  </conditionalFormatting>
  <conditionalFormatting sqref="J53:J54 C53:D54">
    <cfRule type="cellIs" priority="28" dxfId="0" operator="lessThan">
      <formula>0</formula>
    </cfRule>
  </conditionalFormatting>
  <conditionalFormatting sqref="C55:D56 J55:J56">
    <cfRule type="cellIs" priority="27" dxfId="0" operator="lessThan">
      <formula>0</formula>
    </cfRule>
  </conditionalFormatting>
  <conditionalFormatting sqref="C57:D61">
    <cfRule type="cellIs" priority="26" dxfId="0" operator="lessThan">
      <formula>0</formula>
    </cfRule>
  </conditionalFormatting>
  <conditionalFormatting sqref="J57:J61">
    <cfRule type="cellIs" priority="25" dxfId="0" operator="lessThan">
      <formula>0</formula>
    </cfRule>
  </conditionalFormatting>
  <conditionalFormatting sqref="C62:D66 J62:J66">
    <cfRule type="cellIs" priority="24" dxfId="0" operator="lessThan">
      <formula>0</formula>
    </cfRule>
  </conditionalFormatting>
  <conditionalFormatting sqref="C84:D87">
    <cfRule type="cellIs" priority="19" dxfId="0" operator="lessThan">
      <formula>0</formula>
    </cfRule>
  </conditionalFormatting>
  <conditionalFormatting sqref="C78:D78 J79:J83">
    <cfRule type="cellIs" priority="23" dxfId="0" operator="lessThan">
      <formula>0</formula>
    </cfRule>
  </conditionalFormatting>
  <conditionalFormatting sqref="J78">
    <cfRule type="cellIs" priority="22" dxfId="0" operator="lessThan">
      <formula>0</formula>
    </cfRule>
  </conditionalFormatting>
  <conditionalFormatting sqref="C79:D83">
    <cfRule type="cellIs" priority="21" dxfId="0" operator="lessThan">
      <formula>0</formula>
    </cfRule>
  </conditionalFormatting>
  <conditionalFormatting sqref="J84:J87">
    <cfRule type="cellIs" priority="20" dxfId="0" operator="lessThan">
      <formula>0</formula>
    </cfRule>
  </conditionalFormatting>
  <conditionalFormatting sqref="J67:J72 C67:D72">
    <cfRule type="cellIs" priority="18" dxfId="0" operator="lessThan">
      <formula>0</formula>
    </cfRule>
  </conditionalFormatting>
  <conditionalFormatting sqref="J73:J77 C73:D77">
    <cfRule type="cellIs" priority="17" dxfId="0" operator="lessThan">
      <formula>0</formula>
    </cfRule>
  </conditionalFormatting>
  <conditionalFormatting sqref="C91:D91 J91">
    <cfRule type="cellIs" priority="15" dxfId="0" operator="lessThan">
      <formula>0</formula>
    </cfRule>
  </conditionalFormatting>
  <conditionalFormatting sqref="C89:D90 J89:J90">
    <cfRule type="cellIs" priority="16" dxfId="0" operator="lessThan">
      <formula>0</formula>
    </cfRule>
  </conditionalFormatting>
  <conditionalFormatting sqref="J88 C88:D88">
    <cfRule type="cellIs" priority="14" dxfId="0" operator="lessThan">
      <formula>0</formula>
    </cfRule>
  </conditionalFormatting>
  <conditionalFormatting sqref="J92:J94 C92:D94">
    <cfRule type="cellIs" priority="13" dxfId="0" operator="lessThan">
      <formula>0</formula>
    </cfRule>
  </conditionalFormatting>
  <conditionalFormatting sqref="C95:D95 J95">
    <cfRule type="cellIs" priority="12" dxfId="0" operator="lessThan">
      <formula>0</formula>
    </cfRule>
  </conditionalFormatting>
  <conditionalFormatting sqref="C96:D96 J96">
    <cfRule type="cellIs" priority="11" dxfId="0" operator="lessThan">
      <formula>0</formula>
    </cfRule>
  </conditionalFormatting>
  <conditionalFormatting sqref="C97:D97 J97">
    <cfRule type="cellIs" priority="10" dxfId="0" operator="lessThan">
      <formula>0</formula>
    </cfRule>
  </conditionalFormatting>
  <conditionalFormatting sqref="J98:J100">
    <cfRule type="cellIs" priority="9" dxfId="0" operator="lessThan">
      <formula>0</formula>
    </cfRule>
  </conditionalFormatting>
  <conditionalFormatting sqref="D98:D100">
    <cfRule type="cellIs" priority="7" dxfId="0" operator="lessThan">
      <formula>0</formula>
    </cfRule>
  </conditionalFormatting>
  <conditionalFormatting sqref="C98:C100">
    <cfRule type="cellIs" priority="8" dxfId="0" operator="lessThan">
      <formula>0</formula>
    </cfRule>
  </conditionalFormatting>
  <conditionalFormatting sqref="J101:J103 C101:D103">
    <cfRule type="cellIs" priority="6" dxfId="0" operator="lessThan">
      <formula>0</formula>
    </cfRule>
  </conditionalFormatting>
  <conditionalFormatting sqref="J104 C104:D104">
    <cfRule type="cellIs" priority="5" dxfId="0" operator="lessThan">
      <formula>0</formula>
    </cfRule>
  </conditionalFormatting>
  <conditionalFormatting sqref="J105 C105:D105">
    <cfRule type="cellIs" priority="4" dxfId="0" operator="lessThan">
      <formula>0</formula>
    </cfRule>
  </conditionalFormatting>
  <conditionalFormatting sqref="C106:D106 J106">
    <cfRule type="cellIs" priority="2" dxfId="0" operator="lessThan">
      <formula>0</formula>
    </cfRule>
  </conditionalFormatting>
  <conditionalFormatting sqref="J107:J109 C107:D109">
    <cfRule type="cellIs" priority="1" dxfId="0" operator="lessThan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374"/>
  <sheetViews>
    <sheetView zoomScale="90" zoomScaleNormal="90" workbookViewId="0" topLeftCell="A1">
      <pane ySplit="2" topLeftCell="A46" activePane="bottomLeft" state="frozen"/>
      <selection pane="bottomLeft" activeCell="K301" sqref="K301:K303"/>
    </sheetView>
  </sheetViews>
  <sheetFormatPr defaultColWidth="9.140625" defaultRowHeight="15"/>
  <cols>
    <col min="1" max="1" width="9.140625" style="0" customWidth="1"/>
    <col min="2" max="2" width="17.140625" style="0" customWidth="1"/>
    <col min="3" max="3" width="8.140625" style="0" customWidth="1"/>
    <col min="4" max="4" width="8.00390625" style="0" customWidth="1"/>
    <col min="5" max="5" width="9.28125" style="0" customWidth="1"/>
    <col min="6" max="6" width="17.28125" style="0" customWidth="1"/>
    <col min="7" max="7" width="8.28125" style="0" customWidth="1"/>
    <col min="8" max="8" width="10.28125" style="0" customWidth="1"/>
    <col min="9" max="9" width="10.57421875" style="0" customWidth="1"/>
    <col min="10" max="10" width="7.57421875" style="0" customWidth="1"/>
    <col min="11" max="11" width="51.00390625" style="0" customWidth="1"/>
    <col min="12" max="12" width="8.7109375" style="0" customWidth="1"/>
    <col min="13" max="13" width="7.28125" style="0" customWidth="1"/>
    <col min="14" max="14" width="9.140625" style="0" customWidth="1"/>
    <col min="15" max="15" width="9.28125" style="0" customWidth="1"/>
  </cols>
  <sheetData>
    <row r="1" spans="1:19" ht="30.75" customHeight="1">
      <c r="A1" s="43"/>
      <c r="B1" s="388" t="s">
        <v>453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67"/>
      <c r="P1" s="67"/>
      <c r="Q1" s="67"/>
      <c r="R1" s="67"/>
      <c r="S1" s="67"/>
    </row>
    <row r="2" spans="1:19" ht="1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3" t="s">
        <v>5</v>
      </c>
      <c r="G2" s="7" t="s">
        <v>2</v>
      </c>
      <c r="H2" s="6" t="s">
        <v>6</v>
      </c>
      <c r="I2" s="6" t="s">
        <v>7</v>
      </c>
      <c r="J2" s="8" t="s">
        <v>8</v>
      </c>
      <c r="K2" s="9" t="s">
        <v>9</v>
      </c>
      <c r="L2" s="10" t="s">
        <v>70</v>
      </c>
      <c r="M2" s="11" t="s">
        <v>11</v>
      </c>
      <c r="N2" s="126" t="s">
        <v>12</v>
      </c>
      <c r="O2" s="127" t="s">
        <v>69</v>
      </c>
      <c r="P2" s="23" t="s">
        <v>35</v>
      </c>
      <c r="Q2" s="23" t="s">
        <v>13</v>
      </c>
      <c r="R2" s="23" t="s">
        <v>70</v>
      </c>
      <c r="S2" s="23" t="s">
        <v>103</v>
      </c>
    </row>
    <row r="4" s="114" customFormat="1" ht="15"/>
    <row r="5" spans="1:22" s="114" customFormat="1" ht="15">
      <c r="A5" s="12" t="s">
        <v>40</v>
      </c>
      <c r="B5" s="65">
        <v>42009.302083333336</v>
      </c>
      <c r="C5" s="14">
        <v>192</v>
      </c>
      <c r="D5" s="15">
        <v>75</v>
      </c>
      <c r="E5" s="15">
        <f aca="true" t="shared" si="0" ref="E5:E6">C5*D5+11</f>
        <v>14411</v>
      </c>
      <c r="F5" s="13">
        <v>42017.32430555556</v>
      </c>
      <c r="G5" s="14">
        <v>188.32</v>
      </c>
      <c r="H5" s="15">
        <f aca="true" t="shared" si="1" ref="H5:H6">G5*D5</f>
        <v>14124</v>
      </c>
      <c r="I5" s="16">
        <f aca="true" t="shared" si="2" ref="I5:I6">H5-E5</f>
        <v>-287</v>
      </c>
      <c r="J5" s="19">
        <f aca="true" t="shared" si="3" ref="J5:J6">I5/E5</f>
        <v>-0.019915342446742073</v>
      </c>
      <c r="K5" s="95" t="s">
        <v>96</v>
      </c>
      <c r="L5" s="97"/>
      <c r="M5" s="20">
        <f aca="true" t="shared" si="4" ref="M5:M6">C5*0.93</f>
        <v>178.56</v>
      </c>
      <c r="N5" s="118">
        <v>246.71</v>
      </c>
      <c r="O5" s="121">
        <v>42072</v>
      </c>
      <c r="P5" s="116" t="s">
        <v>40</v>
      </c>
      <c r="Q5" s="117"/>
      <c r="R5" s="118"/>
      <c r="S5" s="118"/>
      <c r="T5" s="116"/>
      <c r="V5" s="120"/>
    </row>
    <row r="6" spans="1:22" s="114" customFormat="1" ht="15">
      <c r="A6" s="12" t="s">
        <v>40</v>
      </c>
      <c r="B6" s="65">
        <v>42011.45138888889</v>
      </c>
      <c r="C6" s="14">
        <v>197</v>
      </c>
      <c r="D6" s="15">
        <v>45</v>
      </c>
      <c r="E6" s="15">
        <f t="shared" si="0"/>
        <v>8876</v>
      </c>
      <c r="F6" s="13">
        <v>42017.32430555556</v>
      </c>
      <c r="G6" s="14">
        <v>188.32</v>
      </c>
      <c r="H6" s="15">
        <f t="shared" si="1"/>
        <v>8474.4</v>
      </c>
      <c r="I6" s="16">
        <f t="shared" si="2"/>
        <v>-401.60000000000036</v>
      </c>
      <c r="J6" s="19">
        <f t="shared" si="3"/>
        <v>-0.04524560612888693</v>
      </c>
      <c r="K6" s="95" t="s">
        <v>203</v>
      </c>
      <c r="L6" s="97"/>
      <c r="M6" s="20">
        <f t="shared" si="4"/>
        <v>183.21</v>
      </c>
      <c r="N6" s="118">
        <v>246.71</v>
      </c>
      <c r="O6" s="116"/>
      <c r="P6" s="116" t="s">
        <v>40</v>
      </c>
      <c r="Q6" s="117"/>
      <c r="R6" s="118"/>
      <c r="S6" s="117"/>
      <c r="T6" s="116"/>
      <c r="V6" s="120"/>
    </row>
    <row r="7" s="114" customFormat="1" ht="15"/>
    <row r="8" spans="1:11" s="114" customFormat="1" ht="15">
      <c r="A8" s="2" t="s">
        <v>32</v>
      </c>
      <c r="B8" s="2"/>
      <c r="C8" s="2"/>
      <c r="D8" s="6">
        <f>SUM(D5:D7)</f>
        <v>120</v>
      </c>
      <c r="E8" s="6">
        <f>SUM(E5:E7)</f>
        <v>23287</v>
      </c>
      <c r="F8" s="2"/>
      <c r="G8" s="2"/>
      <c r="H8" s="6">
        <f>SUM(H5:H7)</f>
        <v>22598.4</v>
      </c>
      <c r="I8" s="45">
        <f>SUM(I5:I7)</f>
        <v>-688.6000000000004</v>
      </c>
      <c r="J8" s="96">
        <f>I8/E8</f>
        <v>-0.029570146433632514</v>
      </c>
      <c r="K8" s="47" t="s">
        <v>204</v>
      </c>
    </row>
    <row r="9" spans="1:11" s="114" customFormat="1" ht="15">
      <c r="A9" s="2"/>
      <c r="B9" s="2"/>
      <c r="C9" s="2"/>
      <c r="D9" s="2"/>
      <c r="E9" s="48"/>
      <c r="F9" s="2"/>
      <c r="G9" s="2"/>
      <c r="H9" s="29"/>
      <c r="I9" s="45">
        <f>H8-E8</f>
        <v>-688.5999999999985</v>
      </c>
      <c r="J9" s="46"/>
      <c r="K9" s="47" t="s">
        <v>100</v>
      </c>
    </row>
    <row r="10" spans="1:11" s="114" customFormat="1" ht="15">
      <c r="A10" s="386" t="s">
        <v>33</v>
      </c>
      <c r="B10" s="386"/>
      <c r="C10" s="386"/>
      <c r="D10" s="2"/>
      <c r="E10" s="48"/>
      <c r="F10" s="2"/>
      <c r="G10" s="49"/>
      <c r="H10" s="50"/>
      <c r="I10" s="51">
        <f>F6-B5</f>
        <v>8.022222222221899</v>
      </c>
      <c r="J10" s="52"/>
      <c r="K10" s="47" t="s">
        <v>101</v>
      </c>
    </row>
    <row r="11" spans="1:10" s="114" customFormat="1" ht="15">
      <c r="A11" s="387" t="s">
        <v>202</v>
      </c>
      <c r="B11" s="387"/>
      <c r="C11" s="387"/>
      <c r="D11" s="2"/>
      <c r="E11" s="48"/>
      <c r="F11" s="2"/>
      <c r="G11" s="48"/>
      <c r="H11" s="50"/>
      <c r="I11" s="96">
        <f>(((E8+I8)/E8)^(365/I10))-1</f>
        <v>-0.7447963943679723</v>
      </c>
      <c r="J11" s="46"/>
    </row>
    <row r="12" s="114" customFormat="1" ht="15"/>
    <row r="13" s="114" customFormat="1" ht="15"/>
    <row r="14" spans="1:22" s="114" customFormat="1" ht="15">
      <c r="A14" s="12" t="s">
        <v>39</v>
      </c>
      <c r="B14" s="65">
        <v>42011.27777777778</v>
      </c>
      <c r="C14" s="14">
        <v>55</v>
      </c>
      <c r="D14" s="15">
        <v>260</v>
      </c>
      <c r="E14" s="15">
        <f aca="true" t="shared" si="5" ref="E14:E16">C14*D14+11</f>
        <v>14311</v>
      </c>
      <c r="F14" s="13">
        <v>42019.53680555556</v>
      </c>
      <c r="G14" s="14">
        <v>53.71</v>
      </c>
      <c r="H14" s="15">
        <f aca="true" t="shared" si="6" ref="H14:H16">G14*D14</f>
        <v>13964.6</v>
      </c>
      <c r="I14" s="16">
        <f aca="true" t="shared" si="7" ref="I14:I16">H14-E14</f>
        <v>-346.39999999999964</v>
      </c>
      <c r="J14" s="19">
        <f aca="true" t="shared" si="8" ref="J14:J16">I14/E14</f>
        <v>-0.02420515687233594</v>
      </c>
      <c r="K14" s="95" t="s">
        <v>104</v>
      </c>
      <c r="L14" s="97">
        <v>54.036</v>
      </c>
      <c r="M14" s="41">
        <f aca="true" t="shared" si="9" ref="M14:M16">C14*0.93</f>
        <v>51.150000000000006</v>
      </c>
      <c r="N14" s="118">
        <v>72.5</v>
      </c>
      <c r="O14" s="125">
        <v>42069</v>
      </c>
      <c r="P14" s="116" t="s">
        <v>39</v>
      </c>
      <c r="Q14" s="117">
        <v>63.2</v>
      </c>
      <c r="R14" s="118">
        <f>Q14*0.855</f>
        <v>54.036</v>
      </c>
      <c r="S14" s="117">
        <f>1.11*C14</f>
        <v>61.050000000000004</v>
      </c>
      <c r="T14" s="116"/>
      <c r="V14" s="120"/>
    </row>
    <row r="15" spans="1:22" s="114" customFormat="1" ht="15">
      <c r="A15" s="12" t="s">
        <v>39</v>
      </c>
      <c r="B15" s="65">
        <v>42011.48333333333</v>
      </c>
      <c r="C15" s="14">
        <v>56.8</v>
      </c>
      <c r="D15" s="15">
        <v>150</v>
      </c>
      <c r="E15" s="15">
        <f t="shared" si="5"/>
        <v>8531</v>
      </c>
      <c r="F15" s="13">
        <v>42019.53680555556</v>
      </c>
      <c r="G15" s="14">
        <v>53.71</v>
      </c>
      <c r="H15" s="15">
        <f t="shared" si="6"/>
        <v>8056.5</v>
      </c>
      <c r="I15" s="16">
        <f t="shared" si="7"/>
        <v>-474.5</v>
      </c>
      <c r="J15" s="19">
        <f t="shared" si="8"/>
        <v>-0.05562067752901184</v>
      </c>
      <c r="K15" s="95" t="s">
        <v>105</v>
      </c>
      <c r="L15" s="97">
        <v>54.036</v>
      </c>
      <c r="M15" s="41">
        <f t="shared" si="9"/>
        <v>52.824</v>
      </c>
      <c r="N15" s="118">
        <v>72.5</v>
      </c>
      <c r="O15" s="116"/>
      <c r="P15" s="116" t="s">
        <v>39</v>
      </c>
      <c r="Q15" s="117"/>
      <c r="R15" s="118"/>
      <c r="S15" s="117"/>
      <c r="T15" s="116"/>
      <c r="V15" s="120"/>
    </row>
    <row r="16" spans="1:22" s="114" customFormat="1" ht="15">
      <c r="A16" s="12" t="s">
        <v>39</v>
      </c>
      <c r="B16" s="65">
        <v>42011.4875</v>
      </c>
      <c r="C16" s="14">
        <v>57.68</v>
      </c>
      <c r="D16" s="15">
        <v>100</v>
      </c>
      <c r="E16" s="15">
        <f t="shared" si="5"/>
        <v>5779</v>
      </c>
      <c r="F16" s="13">
        <v>42019.53680555556</v>
      </c>
      <c r="G16" s="14">
        <v>53.71</v>
      </c>
      <c r="H16" s="15">
        <f t="shared" si="6"/>
        <v>5371</v>
      </c>
      <c r="I16" s="16">
        <f t="shared" si="7"/>
        <v>-408</v>
      </c>
      <c r="J16" s="19">
        <f t="shared" si="8"/>
        <v>-0.07060044990482782</v>
      </c>
      <c r="K16" s="95" t="s">
        <v>106</v>
      </c>
      <c r="L16" s="97">
        <v>54.036</v>
      </c>
      <c r="M16" s="41">
        <f t="shared" si="9"/>
        <v>53.6424</v>
      </c>
      <c r="N16" s="118">
        <v>72.5</v>
      </c>
      <c r="O16" s="116"/>
      <c r="P16" s="116" t="s">
        <v>39</v>
      </c>
      <c r="Q16" s="117"/>
      <c r="R16" s="118"/>
      <c r="S16" s="117"/>
      <c r="T16" s="116"/>
      <c r="V16" s="120"/>
    </row>
    <row r="17" s="114" customFormat="1" ht="15"/>
    <row r="18" spans="1:11" s="114" customFormat="1" ht="15">
      <c r="A18" s="2" t="s">
        <v>32</v>
      </c>
      <c r="B18" s="2"/>
      <c r="C18" s="2"/>
      <c r="D18" s="6">
        <f>SUM(D14:D17)</f>
        <v>510</v>
      </c>
      <c r="E18" s="6">
        <f>SUM(E14:E17)</f>
        <v>28621</v>
      </c>
      <c r="F18" s="2"/>
      <c r="G18" s="2"/>
      <c r="H18" s="6">
        <f>SUM(H14:H17)</f>
        <v>27392.1</v>
      </c>
      <c r="I18" s="45">
        <f>SUM(I14:I17)</f>
        <v>-1228.8999999999996</v>
      </c>
      <c r="J18" s="96">
        <f>I18/E18</f>
        <v>-0.04293700429754375</v>
      </c>
      <c r="K18" s="47" t="s">
        <v>108</v>
      </c>
    </row>
    <row r="19" spans="1:11" s="114" customFormat="1" ht="15">
      <c r="A19" s="2"/>
      <c r="B19" s="2"/>
      <c r="C19" s="2"/>
      <c r="D19" s="2"/>
      <c r="E19" s="48"/>
      <c r="F19" s="2"/>
      <c r="G19" s="2"/>
      <c r="H19" s="29"/>
      <c r="I19" s="45">
        <f>H18-E18</f>
        <v>-1228.9000000000015</v>
      </c>
      <c r="J19" s="46"/>
      <c r="K19" s="47" t="s">
        <v>109</v>
      </c>
    </row>
    <row r="20" spans="1:11" s="114" customFormat="1" ht="15">
      <c r="A20" s="386" t="s">
        <v>33</v>
      </c>
      <c r="B20" s="386"/>
      <c r="C20" s="386"/>
      <c r="D20" s="2"/>
      <c r="E20" s="48"/>
      <c r="F20" s="2"/>
      <c r="G20" s="49"/>
      <c r="H20" s="50"/>
      <c r="I20" s="51">
        <f>F16-B14</f>
        <v>8.259027777778101</v>
      </c>
      <c r="J20" s="52"/>
      <c r="K20" s="47"/>
    </row>
    <row r="21" spans="1:10" s="114" customFormat="1" ht="15">
      <c r="A21" s="387" t="s">
        <v>202</v>
      </c>
      <c r="B21" s="387"/>
      <c r="C21" s="387"/>
      <c r="D21" s="2"/>
      <c r="E21" s="48"/>
      <c r="F21" s="2"/>
      <c r="G21" s="48"/>
      <c r="H21" s="50"/>
      <c r="I21" s="96">
        <f>(((E18+I18)/E18)^(365/I20))-1</f>
        <v>-0.8562246814630853</v>
      </c>
      <c r="J21" s="46"/>
    </row>
    <row r="22" s="114" customFormat="1" ht="15"/>
    <row r="23" s="114" customFormat="1" ht="15"/>
    <row r="24" spans="1:20" s="114" customFormat="1" ht="15">
      <c r="A24" s="12" t="s">
        <v>50</v>
      </c>
      <c r="B24" s="65">
        <v>42011.50555555556</v>
      </c>
      <c r="C24" s="14">
        <v>691</v>
      </c>
      <c r="D24" s="15">
        <v>20</v>
      </c>
      <c r="E24" s="15">
        <f aca="true" t="shared" si="10" ref="E24:E26">C24*D24+11</f>
        <v>13831</v>
      </c>
      <c r="F24" s="13">
        <v>42038.56041666667</v>
      </c>
      <c r="G24" s="14">
        <v>683.5</v>
      </c>
      <c r="H24" s="15">
        <f aca="true" t="shared" si="11" ref="H24:H26">G24*D24</f>
        <v>13670</v>
      </c>
      <c r="I24" s="16">
        <f aca="true" t="shared" si="12" ref="I24:I26">H24-E24</f>
        <v>-161</v>
      </c>
      <c r="J24" s="19">
        <f aca="true" t="shared" si="13" ref="J24:J26">I24/E24</f>
        <v>-0.011640517677680573</v>
      </c>
      <c r="K24" s="95" t="s">
        <v>124</v>
      </c>
      <c r="L24" s="119"/>
      <c r="M24" s="20">
        <f aca="true" t="shared" si="14" ref="M24:M26">C24*0.93</f>
        <v>642.63</v>
      </c>
      <c r="N24" s="118">
        <v>873</v>
      </c>
      <c r="O24" s="121">
        <v>42072</v>
      </c>
      <c r="P24" s="116" t="s">
        <v>50</v>
      </c>
      <c r="Q24" s="117"/>
      <c r="R24" s="118"/>
      <c r="S24" s="117">
        <f>1.11*C24</f>
        <v>767.0100000000001</v>
      </c>
      <c r="T24" s="116"/>
    </row>
    <row r="25" spans="1:20" s="114" customFormat="1" ht="15">
      <c r="A25" s="12" t="s">
        <v>50</v>
      </c>
      <c r="B25" s="65">
        <v>42012.27291666667</v>
      </c>
      <c r="C25" s="14">
        <v>707.47</v>
      </c>
      <c r="D25" s="15">
        <v>12</v>
      </c>
      <c r="E25" s="15">
        <f t="shared" si="10"/>
        <v>8500.64</v>
      </c>
      <c r="F25" s="13">
        <v>42038.56041666667</v>
      </c>
      <c r="G25" s="14">
        <v>683.5</v>
      </c>
      <c r="H25" s="15">
        <f t="shared" si="11"/>
        <v>8202</v>
      </c>
      <c r="I25" s="16">
        <f t="shared" si="12"/>
        <v>-298.6399999999994</v>
      </c>
      <c r="J25" s="19">
        <f t="shared" si="13"/>
        <v>-0.03513147245383871</v>
      </c>
      <c r="K25" s="95" t="s">
        <v>125</v>
      </c>
      <c r="L25" s="119"/>
      <c r="M25" s="20">
        <f t="shared" si="14"/>
        <v>657.9471000000001</v>
      </c>
      <c r="N25" s="118">
        <v>873</v>
      </c>
      <c r="O25" s="116"/>
      <c r="P25" s="116" t="s">
        <v>50</v>
      </c>
      <c r="Q25" s="117"/>
      <c r="R25" s="118"/>
      <c r="S25" s="117"/>
      <c r="T25" s="116"/>
    </row>
    <row r="26" spans="1:20" s="114" customFormat="1" ht="15">
      <c r="A26" s="12" t="s">
        <v>50</v>
      </c>
      <c r="B26" s="65">
        <v>42012.28472222222</v>
      </c>
      <c r="C26" s="14">
        <v>722.5</v>
      </c>
      <c r="D26" s="15">
        <v>8</v>
      </c>
      <c r="E26" s="15">
        <f t="shared" si="10"/>
        <v>5791</v>
      </c>
      <c r="F26" s="13">
        <v>42038.56041666667</v>
      </c>
      <c r="G26" s="14">
        <v>683.5</v>
      </c>
      <c r="H26" s="15">
        <f t="shared" si="11"/>
        <v>5468</v>
      </c>
      <c r="I26" s="16">
        <f t="shared" si="12"/>
        <v>-323</v>
      </c>
      <c r="J26" s="19">
        <f t="shared" si="13"/>
        <v>-0.055776204455189084</v>
      </c>
      <c r="K26" s="95" t="s">
        <v>126</v>
      </c>
      <c r="L26" s="119"/>
      <c r="M26" s="20">
        <f t="shared" si="14"/>
        <v>671.9250000000001</v>
      </c>
      <c r="N26" s="118">
        <v>873</v>
      </c>
      <c r="O26" s="116"/>
      <c r="P26" s="116" t="s">
        <v>50</v>
      </c>
      <c r="Q26" s="117"/>
      <c r="R26" s="118"/>
      <c r="S26" s="117"/>
      <c r="T26" s="116"/>
    </row>
    <row r="27" s="114" customFormat="1" ht="15"/>
    <row r="28" spans="1:11" s="114" customFormat="1" ht="15">
      <c r="A28" s="2" t="s">
        <v>32</v>
      </c>
      <c r="B28" s="2"/>
      <c r="C28" s="2"/>
      <c r="D28" s="6">
        <f>SUM(D24:D27)</f>
        <v>40</v>
      </c>
      <c r="E28" s="6">
        <f>SUM(E24:E27)</f>
        <v>28122.64</v>
      </c>
      <c r="F28" s="2"/>
      <c r="G28" s="2"/>
      <c r="H28" s="6">
        <f>SUM(H24:H27)</f>
        <v>27340</v>
      </c>
      <c r="I28" s="45">
        <f>SUM(I24:I27)</f>
        <v>-782.6399999999994</v>
      </c>
      <c r="J28" s="96">
        <f>I28/E28</f>
        <v>-0.027829535207220923</v>
      </c>
      <c r="K28" s="47" t="s">
        <v>128</v>
      </c>
    </row>
    <row r="29" spans="1:11" s="114" customFormat="1" ht="15">
      <c r="A29" s="2"/>
      <c r="B29" s="2"/>
      <c r="C29" s="2"/>
      <c r="D29" s="2"/>
      <c r="E29" s="48"/>
      <c r="F29" s="2"/>
      <c r="G29" s="2"/>
      <c r="H29" s="29"/>
      <c r="I29" s="45">
        <f>H28-E28</f>
        <v>-782.6399999999994</v>
      </c>
      <c r="J29" s="46"/>
      <c r="K29" s="47" t="s">
        <v>205</v>
      </c>
    </row>
    <row r="30" spans="1:11" s="114" customFormat="1" ht="15">
      <c r="A30" s="386" t="s">
        <v>33</v>
      </c>
      <c r="B30" s="386"/>
      <c r="C30" s="386"/>
      <c r="D30" s="2"/>
      <c r="E30" s="48"/>
      <c r="F30" s="2"/>
      <c r="G30" s="49"/>
      <c r="H30" s="50"/>
      <c r="I30" s="51">
        <f>F26-B24</f>
        <v>27.05486111110804</v>
      </c>
      <c r="J30" s="52"/>
      <c r="K30" s="47"/>
    </row>
    <row r="31" spans="1:10" s="114" customFormat="1" ht="15">
      <c r="A31" s="387" t="s">
        <v>202</v>
      </c>
      <c r="B31" s="387"/>
      <c r="C31" s="387"/>
      <c r="D31" s="2"/>
      <c r="E31" s="48"/>
      <c r="F31" s="2"/>
      <c r="G31" s="48"/>
      <c r="H31" s="50"/>
      <c r="I31" s="96">
        <f>(((E28+I28)/E28)^(365/I30))-1</f>
        <v>-0.31666805194645664</v>
      </c>
      <c r="J31" s="46"/>
    </row>
    <row r="32" s="114" customFormat="1" ht="15"/>
    <row r="33" s="114" customFormat="1" ht="15"/>
    <row r="34" spans="1:20" s="114" customFormat="1" ht="15">
      <c r="A34" s="12" t="s">
        <v>58</v>
      </c>
      <c r="B34" s="65">
        <v>42020.27291666667</v>
      </c>
      <c r="C34" s="14">
        <v>40.8</v>
      </c>
      <c r="D34" s="15">
        <v>350</v>
      </c>
      <c r="E34" s="15">
        <f aca="true" t="shared" si="15" ref="E34:E37">C34*D34+11</f>
        <v>14290.999999999998</v>
      </c>
      <c r="F34" s="13">
        <v>42073.27847222222</v>
      </c>
      <c r="G34" s="14">
        <v>44.7</v>
      </c>
      <c r="H34" s="15">
        <f aca="true" t="shared" si="16" ref="H34:H37">G34*D34</f>
        <v>15645.000000000002</v>
      </c>
      <c r="I34" s="16">
        <f aca="true" t="shared" si="17" ref="I34:I37">H34-E34</f>
        <v>1354.0000000000036</v>
      </c>
      <c r="J34" s="19">
        <f aca="true" t="shared" si="18" ref="J34:J37">I34/E34</f>
        <v>0.09474494437058315</v>
      </c>
      <c r="K34" s="95" t="s">
        <v>157</v>
      </c>
      <c r="L34" s="119">
        <v>45.29</v>
      </c>
      <c r="M34" s="41">
        <f aca="true" t="shared" si="19" ref="M34:M37">C34*0.93</f>
        <v>37.944</v>
      </c>
      <c r="N34" s="118">
        <v>56.56</v>
      </c>
      <c r="O34" s="121">
        <v>42096</v>
      </c>
      <c r="P34" s="116" t="s">
        <v>58</v>
      </c>
      <c r="Q34" s="117">
        <v>55.86</v>
      </c>
      <c r="R34" s="118">
        <f>Q34*0.855</f>
        <v>47.7603</v>
      </c>
      <c r="S34" s="117">
        <f>1.11*C34</f>
        <v>45.288000000000004</v>
      </c>
      <c r="T34" s="116"/>
    </row>
    <row r="35" spans="1:20" s="114" customFormat="1" ht="15">
      <c r="A35" s="12" t="s">
        <v>58</v>
      </c>
      <c r="B35" s="65">
        <v>42024.35486111111</v>
      </c>
      <c r="C35" s="14">
        <v>42.9</v>
      </c>
      <c r="D35" s="15">
        <v>200</v>
      </c>
      <c r="E35" s="15">
        <f t="shared" si="15"/>
        <v>8591</v>
      </c>
      <c r="F35" s="13">
        <v>42073.27847222222</v>
      </c>
      <c r="G35" s="14">
        <v>44.7</v>
      </c>
      <c r="H35" s="15">
        <f t="shared" si="16"/>
        <v>8940</v>
      </c>
      <c r="I35" s="16">
        <f t="shared" si="17"/>
        <v>349</v>
      </c>
      <c r="J35" s="19">
        <f t="shared" si="18"/>
        <v>0.04062390874170644</v>
      </c>
      <c r="K35" s="95" t="s">
        <v>158</v>
      </c>
      <c r="L35" s="119">
        <v>45.29</v>
      </c>
      <c r="M35" s="41">
        <f t="shared" si="19"/>
        <v>39.897</v>
      </c>
      <c r="N35" s="118">
        <v>56.56</v>
      </c>
      <c r="O35" s="116"/>
      <c r="P35" s="116" t="s">
        <v>58</v>
      </c>
      <c r="Q35" s="117"/>
      <c r="R35" s="118"/>
      <c r="S35" s="117"/>
      <c r="T35" s="116"/>
    </row>
    <row r="36" spans="1:20" s="114" customFormat="1" ht="15">
      <c r="A36" s="12" t="s">
        <v>58</v>
      </c>
      <c r="B36" s="65">
        <v>42039.3375</v>
      </c>
      <c r="C36" s="14">
        <v>43.9</v>
      </c>
      <c r="D36" s="15">
        <v>130</v>
      </c>
      <c r="E36" s="15">
        <f t="shared" si="15"/>
        <v>5718</v>
      </c>
      <c r="F36" s="13">
        <v>42073.27847222222</v>
      </c>
      <c r="G36" s="14">
        <v>44.7</v>
      </c>
      <c r="H36" s="15">
        <f t="shared" si="16"/>
        <v>5811</v>
      </c>
      <c r="I36" s="16">
        <f t="shared" si="17"/>
        <v>93</v>
      </c>
      <c r="J36" s="19">
        <f t="shared" si="18"/>
        <v>0.01626442812172088</v>
      </c>
      <c r="K36" s="95" t="s">
        <v>159</v>
      </c>
      <c r="L36" s="119">
        <v>45.29</v>
      </c>
      <c r="M36" s="41">
        <f t="shared" si="19"/>
        <v>40.827</v>
      </c>
      <c r="N36" s="118">
        <v>56.56</v>
      </c>
      <c r="O36" s="116"/>
      <c r="P36" s="116" t="s">
        <v>58</v>
      </c>
      <c r="Q36" s="117"/>
      <c r="R36" s="118"/>
      <c r="S36" s="117"/>
      <c r="T36" s="116"/>
    </row>
    <row r="37" spans="1:20" s="114" customFormat="1" ht="15">
      <c r="A37" s="12" t="s">
        <v>58</v>
      </c>
      <c r="B37" s="65">
        <v>42061.271527777775</v>
      </c>
      <c r="C37" s="14">
        <v>49.85</v>
      </c>
      <c r="D37" s="15">
        <v>130</v>
      </c>
      <c r="E37" s="15">
        <f t="shared" si="15"/>
        <v>6491.5</v>
      </c>
      <c r="F37" s="13">
        <v>42073.27847222222</v>
      </c>
      <c r="G37" s="14">
        <v>44.7</v>
      </c>
      <c r="H37" s="15">
        <f t="shared" si="16"/>
        <v>5811</v>
      </c>
      <c r="I37" s="16">
        <f t="shared" si="17"/>
        <v>-680.5</v>
      </c>
      <c r="J37" s="19">
        <f t="shared" si="18"/>
        <v>-0.1048293922822152</v>
      </c>
      <c r="K37" s="95" t="s">
        <v>163</v>
      </c>
      <c r="L37" s="119"/>
      <c r="M37" s="20">
        <f t="shared" si="19"/>
        <v>46.3605</v>
      </c>
      <c r="N37" s="118">
        <v>56.56</v>
      </c>
      <c r="O37" s="116"/>
      <c r="P37" s="116" t="s">
        <v>58</v>
      </c>
      <c r="Q37" s="117"/>
      <c r="R37" s="118"/>
      <c r="S37" s="117"/>
      <c r="T37" s="116"/>
    </row>
    <row r="38" s="114" customFormat="1" ht="15"/>
    <row r="39" spans="1:11" s="114" customFormat="1" ht="15">
      <c r="A39" s="2" t="s">
        <v>32</v>
      </c>
      <c r="B39" s="2"/>
      <c r="C39" s="2"/>
      <c r="D39" s="6">
        <f>SUM(D34:D38)</f>
        <v>810</v>
      </c>
      <c r="E39" s="6">
        <f>SUM(E34:E38)</f>
        <v>35091.5</v>
      </c>
      <c r="F39" s="2"/>
      <c r="G39" s="2"/>
      <c r="H39" s="6">
        <f>SUM(H34:H38)</f>
        <v>36207</v>
      </c>
      <c r="I39" s="45">
        <f>SUM(I34:I38)</f>
        <v>1115.5000000000036</v>
      </c>
      <c r="J39" s="46">
        <f>I39/E39</f>
        <v>0.03178832480800204</v>
      </c>
      <c r="K39" s="47" t="s">
        <v>161</v>
      </c>
    </row>
    <row r="40" spans="1:11" s="114" customFormat="1" ht="15">
      <c r="A40" s="2"/>
      <c r="B40" s="2"/>
      <c r="C40" s="2"/>
      <c r="D40" s="2"/>
      <c r="E40" s="48"/>
      <c r="F40" s="2"/>
      <c r="G40" s="2"/>
      <c r="H40" s="29"/>
      <c r="I40" s="45">
        <f>H39-E39</f>
        <v>1115.5</v>
      </c>
      <c r="J40" s="46"/>
      <c r="K40" s="47" t="s">
        <v>162</v>
      </c>
    </row>
    <row r="41" spans="1:11" s="114" customFormat="1" ht="15">
      <c r="A41" s="386" t="s">
        <v>33</v>
      </c>
      <c r="B41" s="386"/>
      <c r="C41" s="386"/>
      <c r="D41" s="2"/>
      <c r="E41" s="48"/>
      <c r="F41" s="2"/>
      <c r="G41" s="49"/>
      <c r="H41" s="50"/>
      <c r="I41" s="51">
        <f>F37-B35</f>
        <v>48.923611111109494</v>
      </c>
      <c r="J41" s="52"/>
      <c r="K41" s="47"/>
    </row>
    <row r="42" spans="1:10" s="114" customFormat="1" ht="15">
      <c r="A42" s="387" t="s">
        <v>202</v>
      </c>
      <c r="B42" s="387"/>
      <c r="C42" s="387"/>
      <c r="D42" s="2"/>
      <c r="E42" s="48"/>
      <c r="F42" s="2"/>
      <c r="G42" s="48"/>
      <c r="H42" s="50"/>
      <c r="I42" s="46">
        <f>(((E39+I39)/E39)^(365/I41))-1</f>
        <v>0.26297350714240264</v>
      </c>
      <c r="J42" s="46"/>
    </row>
    <row r="43" s="114" customFormat="1" ht="15"/>
    <row r="44" s="114" customFormat="1" ht="15"/>
    <row r="45" spans="1:22" s="114" customFormat="1" ht="15">
      <c r="A45" s="12" t="s">
        <v>60</v>
      </c>
      <c r="B45" s="65">
        <v>42012.27569444444</v>
      </c>
      <c r="C45" s="14">
        <v>75.9</v>
      </c>
      <c r="D45" s="15">
        <v>190</v>
      </c>
      <c r="E45" s="15">
        <f aca="true" t="shared" si="20" ref="E45:E48">C45*D45+11</f>
        <v>14432.000000000002</v>
      </c>
      <c r="F45" s="13">
        <v>42076.53333333333</v>
      </c>
      <c r="G45" s="14">
        <v>104.85</v>
      </c>
      <c r="H45" s="15">
        <f aca="true" t="shared" si="21" ref="H45:H48">G45*D45</f>
        <v>19921.5</v>
      </c>
      <c r="I45" s="16">
        <f aca="true" t="shared" si="22" ref="I45:I48">H45-E45</f>
        <v>5489.499999999998</v>
      </c>
      <c r="J45" s="19">
        <f aca="true" t="shared" si="23" ref="J45:J48">I45/E45</f>
        <v>0.38037001108647434</v>
      </c>
      <c r="K45" s="95" t="s">
        <v>153</v>
      </c>
      <c r="L45" s="119">
        <v>86.24</v>
      </c>
      <c r="M45" s="41">
        <f aca="true" t="shared" si="24" ref="M45:M48">C45*0.93</f>
        <v>70.587</v>
      </c>
      <c r="N45" s="118">
        <v>97.93</v>
      </c>
      <c r="O45" s="121">
        <v>42073</v>
      </c>
      <c r="P45" s="116" t="s">
        <v>60</v>
      </c>
      <c r="Q45" s="117">
        <v>100.86</v>
      </c>
      <c r="R45" s="118">
        <f>Q45*0.855</f>
        <v>86.2353</v>
      </c>
      <c r="S45" s="117">
        <f>1.11*C45</f>
        <v>84.24900000000001</v>
      </c>
      <c r="T45" s="116"/>
      <c r="V45" s="131"/>
    </row>
    <row r="46" spans="1:22" s="114" customFormat="1" ht="15">
      <c r="A46" s="12" t="s">
        <v>60</v>
      </c>
      <c r="B46" s="65">
        <v>42012.520833333336</v>
      </c>
      <c r="C46" s="14">
        <v>78</v>
      </c>
      <c r="D46" s="15">
        <v>110</v>
      </c>
      <c r="E46" s="15">
        <f t="shared" si="20"/>
        <v>8591</v>
      </c>
      <c r="F46" s="13">
        <v>42076.53333333333</v>
      </c>
      <c r="G46" s="14">
        <v>104.85</v>
      </c>
      <c r="H46" s="15">
        <f t="shared" si="21"/>
        <v>11533.5</v>
      </c>
      <c r="I46" s="16">
        <f t="shared" si="22"/>
        <v>2942.5</v>
      </c>
      <c r="J46" s="19">
        <f t="shared" si="23"/>
        <v>0.34250960307298334</v>
      </c>
      <c r="K46" s="95" t="s">
        <v>154</v>
      </c>
      <c r="L46" s="119">
        <v>86.24</v>
      </c>
      <c r="M46" s="41">
        <f t="shared" si="24"/>
        <v>72.54</v>
      </c>
      <c r="N46" s="118">
        <v>97.93</v>
      </c>
      <c r="P46" s="116" t="s">
        <v>60</v>
      </c>
      <c r="Q46" s="117"/>
      <c r="R46" s="118"/>
      <c r="S46" s="117"/>
      <c r="T46" s="116"/>
      <c r="V46" s="131"/>
    </row>
    <row r="47" spans="1:20" s="114" customFormat="1" ht="15">
      <c r="A47" s="12" t="s">
        <v>60</v>
      </c>
      <c r="B47" s="65">
        <v>42013.274305555555</v>
      </c>
      <c r="C47" s="14">
        <v>79.2</v>
      </c>
      <c r="D47" s="15">
        <v>70</v>
      </c>
      <c r="E47" s="15">
        <f t="shared" si="20"/>
        <v>5555</v>
      </c>
      <c r="F47" s="13">
        <v>42076.53333333333</v>
      </c>
      <c r="G47" s="14">
        <v>104.85</v>
      </c>
      <c r="H47" s="15">
        <f t="shared" si="21"/>
        <v>7339.5</v>
      </c>
      <c r="I47" s="16">
        <f t="shared" si="22"/>
        <v>1784.5</v>
      </c>
      <c r="J47" s="19">
        <f t="shared" si="23"/>
        <v>0.32124212421242127</v>
      </c>
      <c r="K47" s="95" t="s">
        <v>155</v>
      </c>
      <c r="L47" s="119">
        <v>86.24</v>
      </c>
      <c r="M47" s="41">
        <f t="shared" si="24"/>
        <v>73.656</v>
      </c>
      <c r="N47" s="118">
        <v>97.93</v>
      </c>
      <c r="O47" s="116"/>
      <c r="P47" s="116" t="s">
        <v>60</v>
      </c>
      <c r="Q47" s="117"/>
      <c r="R47" s="118"/>
      <c r="S47" s="117"/>
      <c r="T47" s="116"/>
    </row>
    <row r="48" spans="1:20" s="114" customFormat="1" ht="15">
      <c r="A48" s="12" t="s">
        <v>60</v>
      </c>
      <c r="B48" s="65">
        <v>42065.23611111111</v>
      </c>
      <c r="C48" s="14">
        <v>95.05</v>
      </c>
      <c r="D48" s="15">
        <v>70</v>
      </c>
      <c r="E48" s="15">
        <f t="shared" si="20"/>
        <v>6664.5</v>
      </c>
      <c r="F48" s="13">
        <v>42076.53333333333</v>
      </c>
      <c r="G48" s="14">
        <v>104.85</v>
      </c>
      <c r="H48" s="15">
        <f t="shared" si="21"/>
        <v>7339.5</v>
      </c>
      <c r="I48" s="16">
        <f t="shared" si="22"/>
        <v>675</v>
      </c>
      <c r="J48" s="19">
        <f t="shared" si="23"/>
        <v>0.1012829169480081</v>
      </c>
      <c r="K48" s="95" t="s">
        <v>156</v>
      </c>
      <c r="L48" s="119">
        <v>86.24</v>
      </c>
      <c r="M48" s="20">
        <f t="shared" si="24"/>
        <v>88.3965</v>
      </c>
      <c r="N48" s="118">
        <v>97.93</v>
      </c>
      <c r="O48" s="116"/>
      <c r="P48" s="116" t="s">
        <v>60</v>
      </c>
      <c r="Q48" s="117"/>
      <c r="R48" s="118"/>
      <c r="S48" s="117"/>
      <c r="T48" s="116"/>
    </row>
    <row r="49" s="114" customFormat="1" ht="15"/>
    <row r="50" spans="1:11" s="114" customFormat="1" ht="15">
      <c r="A50" s="2" t="s">
        <v>32</v>
      </c>
      <c r="B50" s="2"/>
      <c r="C50" s="2"/>
      <c r="D50" s="6">
        <f>SUM(D45:D49)</f>
        <v>440</v>
      </c>
      <c r="E50" s="6">
        <f>SUM(E45:E49)</f>
        <v>35242.5</v>
      </c>
      <c r="F50" s="2"/>
      <c r="G50" s="2"/>
      <c r="H50" s="6">
        <f>SUM(H45:H49)</f>
        <v>46134</v>
      </c>
      <c r="I50" s="45">
        <f>SUM(I45:I49)</f>
        <v>10891.499999999998</v>
      </c>
      <c r="J50" s="46">
        <f>I50/E50</f>
        <v>0.3090444775484145</v>
      </c>
      <c r="K50" s="47" t="s">
        <v>166</v>
      </c>
    </row>
    <row r="51" spans="1:11" s="114" customFormat="1" ht="15">
      <c r="A51" s="2"/>
      <c r="B51" s="2"/>
      <c r="C51" s="2"/>
      <c r="D51" s="2"/>
      <c r="E51" s="48"/>
      <c r="F51" s="2"/>
      <c r="G51" s="2"/>
      <c r="H51" s="29"/>
      <c r="I51" s="45">
        <f>H50-E50</f>
        <v>10891.5</v>
      </c>
      <c r="J51" s="46"/>
      <c r="K51" s="47" t="s">
        <v>167</v>
      </c>
    </row>
    <row r="52" spans="1:11" s="114" customFormat="1" ht="15">
      <c r="A52" s="386" t="s">
        <v>33</v>
      </c>
      <c r="B52" s="386"/>
      <c r="C52" s="386"/>
      <c r="D52" s="2"/>
      <c r="E52" s="48"/>
      <c r="F52" s="2"/>
      <c r="G52" s="49"/>
      <c r="H52" s="50"/>
      <c r="I52" s="51">
        <f>F48-B45</f>
        <v>64.25763888889196</v>
      </c>
      <c r="J52" s="52"/>
      <c r="K52" s="47" t="s">
        <v>168</v>
      </c>
    </row>
    <row r="53" spans="1:10" s="114" customFormat="1" ht="15">
      <c r="A53" s="387" t="s">
        <v>202</v>
      </c>
      <c r="B53" s="387"/>
      <c r="C53" s="387"/>
      <c r="D53" s="2"/>
      <c r="E53" s="48"/>
      <c r="F53" s="2"/>
      <c r="G53" s="48"/>
      <c r="H53" s="50"/>
      <c r="I53" s="46">
        <f>(((E50+I50)/E50)^(365/I52))-1</f>
        <v>3.6166956159667016</v>
      </c>
      <c r="J53" s="46"/>
    </row>
    <row r="54" s="114" customFormat="1" ht="15"/>
    <row r="55" s="114" customFormat="1" ht="15"/>
    <row r="56" spans="1:22" s="114" customFormat="1" ht="15">
      <c r="A56" s="12" t="s">
        <v>64</v>
      </c>
      <c r="B56" s="65">
        <v>42011.27291666667</v>
      </c>
      <c r="C56" s="14">
        <v>70.75</v>
      </c>
      <c r="D56" s="15">
        <v>200</v>
      </c>
      <c r="E56" s="15">
        <f aca="true" t="shared" si="25" ref="E56:E60">C56*D56+11</f>
        <v>14161</v>
      </c>
      <c r="F56" s="13">
        <v>42081.51666666667</v>
      </c>
      <c r="G56" s="14">
        <v>97.25</v>
      </c>
      <c r="H56" s="15">
        <f aca="true" t="shared" si="26" ref="H56:H60">G56*D56</f>
        <v>19450</v>
      </c>
      <c r="I56" s="16">
        <f aca="true" t="shared" si="27" ref="I56:I60">H56-E56</f>
        <v>5289</v>
      </c>
      <c r="J56" s="19">
        <f aca="true" t="shared" si="28" ref="J56:J60">I56/E56</f>
        <v>0.3734905726996681</v>
      </c>
      <c r="K56" s="72" t="s">
        <v>176</v>
      </c>
      <c r="L56" s="97">
        <v>79.93</v>
      </c>
      <c r="M56" s="41">
        <f aca="true" t="shared" si="29" ref="M56:M60">C56*0.93</f>
        <v>65.7975</v>
      </c>
      <c r="N56" s="118">
        <v>93.71</v>
      </c>
      <c r="O56" s="121">
        <v>42081</v>
      </c>
      <c r="P56" s="116" t="s">
        <v>79</v>
      </c>
      <c r="Q56" s="117">
        <v>93.48</v>
      </c>
      <c r="R56" s="118">
        <f>Q56*0.855</f>
        <v>79.9254</v>
      </c>
      <c r="S56" s="117">
        <f>1.11*C56</f>
        <v>78.53250000000001</v>
      </c>
      <c r="T56" s="116"/>
      <c r="V56" s="131"/>
    </row>
    <row r="57" spans="1:22" s="114" customFormat="1" ht="15">
      <c r="A57" s="12" t="s">
        <v>64</v>
      </c>
      <c r="B57" s="65">
        <v>42012.27847222222</v>
      </c>
      <c r="C57" s="14">
        <v>72.34</v>
      </c>
      <c r="D57" s="15">
        <v>120</v>
      </c>
      <c r="E57" s="15">
        <f t="shared" si="25"/>
        <v>8691.800000000001</v>
      </c>
      <c r="F57" s="13">
        <v>42081.51666666667</v>
      </c>
      <c r="G57" s="14">
        <v>97.25</v>
      </c>
      <c r="H57" s="15">
        <f t="shared" si="26"/>
        <v>11670</v>
      </c>
      <c r="I57" s="16">
        <f t="shared" si="27"/>
        <v>2978.199999999999</v>
      </c>
      <c r="J57" s="19">
        <f t="shared" si="28"/>
        <v>0.34264479164269757</v>
      </c>
      <c r="K57" s="95" t="s">
        <v>177</v>
      </c>
      <c r="L57" s="97">
        <v>79.93</v>
      </c>
      <c r="M57" s="41">
        <f t="shared" si="29"/>
        <v>67.2762</v>
      </c>
      <c r="N57" s="118">
        <v>93.71</v>
      </c>
      <c r="O57" s="116"/>
      <c r="P57" s="116" t="s">
        <v>79</v>
      </c>
      <c r="Q57" s="117"/>
      <c r="R57" s="118"/>
      <c r="S57" s="117"/>
      <c r="T57" s="116"/>
      <c r="V57" s="131"/>
    </row>
    <row r="58" spans="1:22" s="114" customFormat="1" ht="15">
      <c r="A58" s="12" t="s">
        <v>64</v>
      </c>
      <c r="B58" s="65">
        <v>42024.27291666667</v>
      </c>
      <c r="C58" s="14">
        <v>75.2</v>
      </c>
      <c r="D58" s="15">
        <v>80</v>
      </c>
      <c r="E58" s="15">
        <f t="shared" si="25"/>
        <v>6027</v>
      </c>
      <c r="F58" s="13">
        <v>42081.51666666667</v>
      </c>
      <c r="G58" s="14">
        <v>97.25</v>
      </c>
      <c r="H58" s="15">
        <f t="shared" si="26"/>
        <v>7780</v>
      </c>
      <c r="I58" s="16">
        <f t="shared" si="27"/>
        <v>1753</v>
      </c>
      <c r="J58" s="19">
        <f t="shared" si="28"/>
        <v>0.290857806537249</v>
      </c>
      <c r="K58" s="95" t="s">
        <v>178</v>
      </c>
      <c r="L58" s="97">
        <v>79.93</v>
      </c>
      <c r="M58" s="41">
        <f t="shared" si="29"/>
        <v>69.936</v>
      </c>
      <c r="N58" s="118">
        <v>93.71</v>
      </c>
      <c r="O58" s="116"/>
      <c r="P58" s="116" t="s">
        <v>79</v>
      </c>
      <c r="Q58" s="117"/>
      <c r="R58" s="118"/>
      <c r="S58" s="117"/>
      <c r="T58" s="116"/>
      <c r="V58" s="131"/>
    </row>
    <row r="59" spans="1:22" s="114" customFormat="1" ht="15">
      <c r="A59" s="12" t="s">
        <v>64</v>
      </c>
      <c r="B59" s="65">
        <v>42052.277083333334</v>
      </c>
      <c r="C59" s="14">
        <v>81.6</v>
      </c>
      <c r="D59" s="15">
        <v>80</v>
      </c>
      <c r="E59" s="15">
        <f t="shared" si="25"/>
        <v>6539</v>
      </c>
      <c r="F59" s="13">
        <v>42081.51666666667</v>
      </c>
      <c r="G59" s="14">
        <v>97.25</v>
      </c>
      <c r="H59" s="15">
        <f t="shared" si="26"/>
        <v>7780</v>
      </c>
      <c r="I59" s="16">
        <f t="shared" si="27"/>
        <v>1241</v>
      </c>
      <c r="J59" s="19">
        <f t="shared" si="28"/>
        <v>0.18978437069888363</v>
      </c>
      <c r="K59" s="95" t="s">
        <v>179</v>
      </c>
      <c r="L59" s="97">
        <v>79.93</v>
      </c>
      <c r="M59" s="41">
        <f t="shared" si="29"/>
        <v>75.888</v>
      </c>
      <c r="N59" s="118">
        <v>93.71</v>
      </c>
      <c r="O59" s="116"/>
      <c r="P59" s="116" t="s">
        <v>79</v>
      </c>
      <c r="Q59" s="117"/>
      <c r="R59" s="118"/>
      <c r="S59" s="117"/>
      <c r="T59" s="116"/>
      <c r="V59" s="131"/>
    </row>
    <row r="60" spans="1:22" s="114" customFormat="1" ht="15">
      <c r="A60" s="12" t="s">
        <v>79</v>
      </c>
      <c r="B60" s="65">
        <v>42058.27361111111</v>
      </c>
      <c r="C60" s="14">
        <v>85.2</v>
      </c>
      <c r="D60" s="15">
        <v>100</v>
      </c>
      <c r="E60" s="15">
        <f t="shared" si="25"/>
        <v>8531</v>
      </c>
      <c r="F60" s="13">
        <v>42081.51666666667</v>
      </c>
      <c r="G60" s="14">
        <v>97.25</v>
      </c>
      <c r="H60" s="15">
        <f t="shared" si="26"/>
        <v>9725</v>
      </c>
      <c r="I60" s="16">
        <f t="shared" si="27"/>
        <v>1194</v>
      </c>
      <c r="J60" s="19">
        <f t="shared" si="28"/>
        <v>0.13996014535224474</v>
      </c>
      <c r="K60" s="95" t="s">
        <v>180</v>
      </c>
      <c r="L60" s="97">
        <v>79.93</v>
      </c>
      <c r="M60" s="41">
        <f t="shared" si="29"/>
        <v>79.236</v>
      </c>
      <c r="N60" s="118">
        <v>93.71</v>
      </c>
      <c r="O60" s="116"/>
      <c r="P60" s="116" t="s">
        <v>79</v>
      </c>
      <c r="Q60" s="117"/>
      <c r="R60" s="118"/>
      <c r="S60" s="117"/>
      <c r="T60" s="116"/>
      <c r="V60" s="131"/>
    </row>
    <row r="61" s="114" customFormat="1" ht="15"/>
    <row r="62" spans="1:11" s="114" customFormat="1" ht="15">
      <c r="A62" s="2" t="s">
        <v>32</v>
      </c>
      <c r="B62" s="2"/>
      <c r="C62" s="2"/>
      <c r="D62" s="6">
        <f>SUM(D56:D61)</f>
        <v>580</v>
      </c>
      <c r="E62" s="6">
        <f>SUM(E56:E61)</f>
        <v>43949.8</v>
      </c>
      <c r="F62" s="2"/>
      <c r="G62" s="2"/>
      <c r="H62" s="6">
        <f>SUM(H56:H61)</f>
        <v>56405</v>
      </c>
      <c r="I62" s="45">
        <f>SUM(I56:I61)</f>
        <v>12455.199999999999</v>
      </c>
      <c r="J62" s="46">
        <f>I62/E62</f>
        <v>0.28339605640981297</v>
      </c>
      <c r="K62" s="47" t="s">
        <v>185</v>
      </c>
    </row>
    <row r="63" spans="1:11" s="114" customFormat="1" ht="15">
      <c r="A63" s="2"/>
      <c r="B63" s="2"/>
      <c r="C63" s="2"/>
      <c r="D63" s="2"/>
      <c r="E63" s="48"/>
      <c r="F63" s="2"/>
      <c r="G63" s="2"/>
      <c r="H63" s="29"/>
      <c r="I63" s="45">
        <f>H62-E62</f>
        <v>12455.199999999997</v>
      </c>
      <c r="J63" s="46"/>
      <c r="K63" s="47"/>
    </row>
    <row r="64" spans="1:11" s="114" customFormat="1" ht="15">
      <c r="A64" s="386" t="s">
        <v>33</v>
      </c>
      <c r="B64" s="386"/>
      <c r="C64" s="386"/>
      <c r="D64" s="2"/>
      <c r="E64" s="48"/>
      <c r="F64" s="2"/>
      <c r="G64" s="49"/>
      <c r="H64" s="50"/>
      <c r="I64" s="51">
        <f>F60-B56</f>
        <v>70.24375000000146</v>
      </c>
      <c r="J64" s="52"/>
      <c r="K64" s="47"/>
    </row>
    <row r="65" spans="1:10" s="114" customFormat="1" ht="15">
      <c r="A65" s="387" t="s">
        <v>202</v>
      </c>
      <c r="B65" s="387"/>
      <c r="C65" s="387"/>
      <c r="D65" s="2"/>
      <c r="E65" s="48"/>
      <c r="F65" s="2"/>
      <c r="G65" s="48"/>
      <c r="H65" s="50"/>
      <c r="I65" s="46">
        <f>(((E62+I62)/E62)^(365/I64))-1</f>
        <v>2.656478184700875</v>
      </c>
      <c r="J65" s="46"/>
    </row>
    <row r="66" s="114" customFormat="1" ht="15"/>
    <row r="67" s="114" customFormat="1" ht="15"/>
    <row r="68" spans="1:20" s="114" customFormat="1" ht="15">
      <c r="A68" s="12" t="s">
        <v>73</v>
      </c>
      <c r="B68" s="65">
        <v>42017.27847222222</v>
      </c>
      <c r="C68" s="14">
        <v>21.2</v>
      </c>
      <c r="D68" s="15">
        <v>680</v>
      </c>
      <c r="E68" s="15">
        <f aca="true" t="shared" si="30" ref="E68:E71">C68*D68+11</f>
        <v>14427</v>
      </c>
      <c r="F68" s="13">
        <v>42086.27291666667</v>
      </c>
      <c r="G68" s="14">
        <v>26.7</v>
      </c>
      <c r="H68" s="15">
        <f aca="true" t="shared" si="31" ref="H68:H71">G68*D68</f>
        <v>18156</v>
      </c>
      <c r="I68" s="16">
        <f aca="true" t="shared" si="32" ref="I68:I71">H68-E68</f>
        <v>3729</v>
      </c>
      <c r="J68" s="19">
        <f aca="true" t="shared" si="33" ref="J68:J71">I68/E68</f>
        <v>0.25847369515491786</v>
      </c>
      <c r="K68" s="72" t="s">
        <v>193</v>
      </c>
      <c r="L68" s="119">
        <v>22.63</v>
      </c>
      <c r="M68" s="41">
        <f aca="true" t="shared" si="34" ref="M68:M71">C68*0.93</f>
        <v>19.716</v>
      </c>
      <c r="N68" s="118">
        <v>26.43</v>
      </c>
      <c r="O68" s="121">
        <v>42080</v>
      </c>
      <c r="P68" s="116" t="s">
        <v>73</v>
      </c>
      <c r="Q68" s="117">
        <v>26.47</v>
      </c>
      <c r="R68" s="118">
        <f>Q68*0.855</f>
        <v>22.63185</v>
      </c>
      <c r="S68" s="117">
        <f>1.11*C68</f>
        <v>23.532</v>
      </c>
      <c r="T68" s="116"/>
    </row>
    <row r="69" spans="1:20" s="114" customFormat="1" ht="15">
      <c r="A69" s="12" t="s">
        <v>73</v>
      </c>
      <c r="B69" s="65">
        <v>42020.5375</v>
      </c>
      <c r="C69" s="14">
        <v>21.73</v>
      </c>
      <c r="D69" s="15">
        <v>400</v>
      </c>
      <c r="E69" s="15">
        <f t="shared" si="30"/>
        <v>8703</v>
      </c>
      <c r="F69" s="13">
        <v>42086.27291666667</v>
      </c>
      <c r="G69" s="14">
        <v>26.7</v>
      </c>
      <c r="H69" s="15">
        <f t="shared" si="31"/>
        <v>10680</v>
      </c>
      <c r="I69" s="16">
        <f t="shared" si="32"/>
        <v>1977</v>
      </c>
      <c r="J69" s="19">
        <f t="shared" si="33"/>
        <v>0.22716304722509478</v>
      </c>
      <c r="K69" s="95" t="s">
        <v>194</v>
      </c>
      <c r="L69" s="119">
        <v>22.63</v>
      </c>
      <c r="M69" s="41">
        <f t="shared" si="34"/>
        <v>20.2089</v>
      </c>
      <c r="N69" s="118">
        <v>26.43</v>
      </c>
      <c r="O69" s="116"/>
      <c r="P69" s="116" t="s">
        <v>73</v>
      </c>
      <c r="Q69" s="117"/>
      <c r="R69" s="118"/>
      <c r="S69" s="117"/>
      <c r="T69" s="116"/>
    </row>
    <row r="70" spans="1:20" s="114" customFormat="1" ht="15">
      <c r="A70" s="12" t="s">
        <v>73</v>
      </c>
      <c r="B70" s="65">
        <v>42024.39791666667</v>
      </c>
      <c r="C70" s="14">
        <v>22.2</v>
      </c>
      <c r="D70" s="15">
        <v>260</v>
      </c>
      <c r="E70" s="15">
        <f t="shared" si="30"/>
        <v>5783</v>
      </c>
      <c r="F70" s="13">
        <v>42086.27291666667</v>
      </c>
      <c r="G70" s="14">
        <v>26.7</v>
      </c>
      <c r="H70" s="15">
        <f t="shared" si="31"/>
        <v>6942</v>
      </c>
      <c r="I70" s="16">
        <f t="shared" si="32"/>
        <v>1159</v>
      </c>
      <c r="J70" s="19">
        <f t="shared" si="33"/>
        <v>0.20041500951063462</v>
      </c>
      <c r="K70" s="95" t="s">
        <v>195</v>
      </c>
      <c r="L70" s="119">
        <v>22.63</v>
      </c>
      <c r="M70" s="41">
        <f t="shared" si="34"/>
        <v>20.646</v>
      </c>
      <c r="N70" s="118">
        <v>26.43</v>
      </c>
      <c r="O70" s="116"/>
      <c r="P70" s="116" t="s">
        <v>73</v>
      </c>
      <c r="Q70" s="117"/>
      <c r="R70" s="118"/>
      <c r="S70" s="117"/>
      <c r="T70" s="116"/>
    </row>
    <row r="71" spans="1:20" s="114" customFormat="1" ht="15">
      <c r="A71" s="12" t="s">
        <v>73</v>
      </c>
      <c r="B71" s="65">
        <v>42364.27222222222</v>
      </c>
      <c r="C71" s="14">
        <v>23.5</v>
      </c>
      <c r="D71" s="15">
        <v>260</v>
      </c>
      <c r="E71" s="15">
        <f t="shared" si="30"/>
        <v>6121</v>
      </c>
      <c r="F71" s="13">
        <v>42086.27291666667</v>
      </c>
      <c r="G71" s="14">
        <v>26.7</v>
      </c>
      <c r="H71" s="15">
        <f t="shared" si="31"/>
        <v>6942</v>
      </c>
      <c r="I71" s="16">
        <f t="shared" si="32"/>
        <v>821</v>
      </c>
      <c r="J71" s="19">
        <f t="shared" si="33"/>
        <v>0.13412841039045909</v>
      </c>
      <c r="K71" s="95" t="s">
        <v>196</v>
      </c>
      <c r="L71" s="119">
        <v>22.63</v>
      </c>
      <c r="M71" s="41">
        <f t="shared" si="34"/>
        <v>21.855</v>
      </c>
      <c r="N71" s="118">
        <v>26.43</v>
      </c>
      <c r="O71" s="116"/>
      <c r="P71" s="116" t="s">
        <v>73</v>
      </c>
      <c r="Q71" s="117"/>
      <c r="R71" s="118"/>
      <c r="S71" s="117"/>
      <c r="T71" s="116"/>
    </row>
    <row r="72" s="114" customFormat="1" ht="15"/>
    <row r="73" spans="1:11" s="114" customFormat="1" ht="15">
      <c r="A73" s="2" t="s">
        <v>32</v>
      </c>
      <c r="B73" s="2"/>
      <c r="C73" s="2"/>
      <c r="D73" s="6">
        <f>SUM(D68:D72)</f>
        <v>1600</v>
      </c>
      <c r="E73" s="6">
        <f>SUM(E68:E72)</f>
        <v>35034</v>
      </c>
      <c r="F73" s="2"/>
      <c r="G73" s="2"/>
      <c r="H73" s="6">
        <f>SUM(H68:H72)</f>
        <v>42720</v>
      </c>
      <c r="I73" s="45">
        <f>SUM(I68:I72)</f>
        <v>7686</v>
      </c>
      <c r="J73" s="46">
        <f>I73/E73</f>
        <v>0.2193868813152937</v>
      </c>
      <c r="K73" s="47" t="s">
        <v>206</v>
      </c>
    </row>
    <row r="74" spans="1:11" s="114" customFormat="1" ht="15">
      <c r="A74" s="2"/>
      <c r="B74" s="2"/>
      <c r="C74" s="2"/>
      <c r="D74" s="2"/>
      <c r="E74" s="48"/>
      <c r="F74" s="2"/>
      <c r="G74" s="2"/>
      <c r="H74" s="29"/>
      <c r="I74" s="45">
        <f>H73-E73</f>
        <v>7686</v>
      </c>
      <c r="J74" s="46"/>
      <c r="K74" s="47" t="s">
        <v>197</v>
      </c>
    </row>
    <row r="75" spans="1:11" s="114" customFormat="1" ht="15">
      <c r="A75" s="386" t="s">
        <v>33</v>
      </c>
      <c r="B75" s="386"/>
      <c r="C75" s="386"/>
      <c r="D75" s="2"/>
      <c r="E75" s="48"/>
      <c r="F75" s="2"/>
      <c r="G75" s="49"/>
      <c r="H75" s="50"/>
      <c r="I75" s="51">
        <f>F71-B68</f>
        <v>68.99444444444816</v>
      </c>
      <c r="J75" s="52"/>
      <c r="K75" s="47"/>
    </row>
    <row r="76" spans="1:10" s="114" customFormat="1" ht="15">
      <c r="A76" s="387" t="s">
        <v>202</v>
      </c>
      <c r="B76" s="387"/>
      <c r="C76" s="387"/>
      <c r="D76" s="2"/>
      <c r="E76" s="48"/>
      <c r="F76" s="2"/>
      <c r="G76" s="48"/>
      <c r="H76" s="50"/>
      <c r="I76" s="46">
        <f>(((E73+I73)/E73)^(365/I75))-1</f>
        <v>1.8557016984299737</v>
      </c>
      <c r="J76" s="46"/>
    </row>
    <row r="77" s="114" customFormat="1" ht="15"/>
    <row r="78" s="114" customFormat="1" ht="15"/>
    <row r="79" spans="1:20" s="114" customFormat="1" ht="15">
      <c r="A79" s="12" t="s">
        <v>43</v>
      </c>
      <c r="B79" s="65">
        <v>42082.464583333334</v>
      </c>
      <c r="C79" s="14">
        <v>125</v>
      </c>
      <c r="D79" s="15">
        <v>160</v>
      </c>
      <c r="E79" s="15">
        <f aca="true" t="shared" si="35" ref="E79">C79*D79+11</f>
        <v>20011</v>
      </c>
      <c r="F79" s="13">
        <v>42088.51875</v>
      </c>
      <c r="G79" s="14">
        <v>117.45</v>
      </c>
      <c r="H79" s="15">
        <f aca="true" t="shared" si="36" ref="H79">G79*D79</f>
        <v>18792</v>
      </c>
      <c r="I79" s="16">
        <f aca="true" t="shared" si="37" ref="I79">H79-E79</f>
        <v>-1219</v>
      </c>
      <c r="J79" s="19">
        <f aca="true" t="shared" si="38" ref="J79">I79/E79</f>
        <v>-0.060916495927240015</v>
      </c>
      <c r="K79" s="95" t="s">
        <v>200</v>
      </c>
      <c r="L79" s="119"/>
      <c r="M79" s="20">
        <f aca="true" t="shared" si="39" ref="M79">C79*0.93</f>
        <v>116.25</v>
      </c>
      <c r="N79" s="118">
        <v>156.81</v>
      </c>
      <c r="O79" s="121">
        <v>42139</v>
      </c>
      <c r="P79" s="116" t="s">
        <v>43</v>
      </c>
      <c r="Q79" s="117"/>
      <c r="R79" s="118"/>
      <c r="S79" s="117">
        <f>1.11*C79</f>
        <v>138.75</v>
      </c>
      <c r="T79" s="116"/>
    </row>
    <row r="80" s="114" customFormat="1" ht="15"/>
    <row r="81" spans="1:11" s="114" customFormat="1" ht="15">
      <c r="A81" s="2" t="s">
        <v>32</v>
      </c>
      <c r="B81" s="2"/>
      <c r="C81" s="2"/>
      <c r="D81" s="6">
        <f>SUM(D79:D80)</f>
        <v>160</v>
      </c>
      <c r="E81" s="6">
        <f>SUM(E79:E80)</f>
        <v>20011</v>
      </c>
      <c r="F81" s="2"/>
      <c r="G81" s="2"/>
      <c r="H81" s="6">
        <f>SUM(H79:H80)</f>
        <v>18792</v>
      </c>
      <c r="I81" s="45">
        <f>SUM(I79:I80)</f>
        <v>-1219</v>
      </c>
      <c r="J81" s="96">
        <f>I81/E81</f>
        <v>-0.060916495927240015</v>
      </c>
      <c r="K81" s="47" t="s">
        <v>207</v>
      </c>
    </row>
    <row r="82" spans="1:11" s="114" customFormat="1" ht="15">
      <c r="A82" s="2"/>
      <c r="B82" s="2"/>
      <c r="C82" s="2"/>
      <c r="D82" s="2"/>
      <c r="E82" s="48"/>
      <c r="F82" s="2"/>
      <c r="G82" s="2"/>
      <c r="H82" s="29"/>
      <c r="I82" s="45">
        <f>H81-E81</f>
        <v>-1219</v>
      </c>
      <c r="J82" s="46"/>
      <c r="K82" s="47" t="s">
        <v>201</v>
      </c>
    </row>
    <row r="83" spans="1:11" s="114" customFormat="1" ht="15">
      <c r="A83" s="386" t="s">
        <v>33</v>
      </c>
      <c r="B83" s="386"/>
      <c r="C83" s="386"/>
      <c r="D83" s="2"/>
      <c r="E83" s="48"/>
      <c r="F83" s="2"/>
      <c r="G83" s="49"/>
      <c r="H83" s="50"/>
      <c r="I83" s="51">
        <f>F79-B79</f>
        <v>6.054166666668607</v>
      </c>
      <c r="J83" s="52"/>
      <c r="K83" s="47"/>
    </row>
    <row r="84" spans="1:10" s="114" customFormat="1" ht="15">
      <c r="A84" s="387" t="s">
        <v>202</v>
      </c>
      <c r="B84" s="387"/>
      <c r="C84" s="387"/>
      <c r="D84" s="2"/>
      <c r="E84" s="48"/>
      <c r="F84" s="2"/>
      <c r="G84" s="48"/>
      <c r="H84" s="50"/>
      <c r="I84" s="96">
        <f>(((E81+I81)/E81)^(365/I83))-1</f>
        <v>-0.9773867665522433</v>
      </c>
      <c r="J84" s="46"/>
    </row>
    <row r="85" s="114" customFormat="1" ht="15"/>
    <row r="86" s="114" customFormat="1" ht="15"/>
    <row r="87" spans="1:22" s="114" customFormat="1" ht="15">
      <c r="A87" s="12" t="s">
        <v>92</v>
      </c>
      <c r="B87" s="65">
        <v>42010.447916666664</v>
      </c>
      <c r="C87" s="14">
        <v>111.9</v>
      </c>
      <c r="D87" s="15">
        <v>130</v>
      </c>
      <c r="E87" s="15">
        <f aca="true" t="shared" si="40" ref="E87:E90">C87*D87+11</f>
        <v>14558</v>
      </c>
      <c r="F87" s="13">
        <v>42118.441666666666</v>
      </c>
      <c r="G87" s="14">
        <v>141.92</v>
      </c>
      <c r="H87" s="15">
        <f aca="true" t="shared" si="41" ref="H87:H90">G87*D87</f>
        <v>18449.6</v>
      </c>
      <c r="I87" s="16">
        <f aca="true" t="shared" si="42" ref="I87:I90">H87-E87</f>
        <v>3891.5999999999985</v>
      </c>
      <c r="J87" s="19">
        <f aca="true" t="shared" si="43" ref="J87">I87/E87</f>
        <v>0.26731693913999166</v>
      </c>
      <c r="K87" s="72" t="s">
        <v>226</v>
      </c>
      <c r="L87" s="97">
        <v>123.03</v>
      </c>
      <c r="M87" s="41">
        <f aca="true" t="shared" si="44" ref="M87:M90">C87*0.93</f>
        <v>104.06700000000001</v>
      </c>
      <c r="N87" s="118">
        <v>141.88</v>
      </c>
      <c r="O87" s="121">
        <v>42068</v>
      </c>
      <c r="P87" s="116" t="s">
        <v>92</v>
      </c>
      <c r="Q87" s="117">
        <v>143.9</v>
      </c>
      <c r="R87" s="118">
        <f>Q87*0.855</f>
        <v>123.03450000000001</v>
      </c>
      <c r="S87" s="117">
        <f>1.11*C87</f>
        <v>124.20900000000002</v>
      </c>
      <c r="T87" s="116"/>
      <c r="V87" s="131"/>
    </row>
    <row r="88" spans="1:22" s="114" customFormat="1" ht="15">
      <c r="A88" s="12" t="s">
        <v>92</v>
      </c>
      <c r="B88" s="65">
        <v>42011.34305555555</v>
      </c>
      <c r="C88" s="14">
        <v>114.4</v>
      </c>
      <c r="D88" s="15">
        <v>75</v>
      </c>
      <c r="E88" s="15">
        <f t="shared" si="40"/>
        <v>8591</v>
      </c>
      <c r="F88" s="13">
        <v>42118.441666666666</v>
      </c>
      <c r="G88" s="14">
        <v>141.92</v>
      </c>
      <c r="H88" s="15">
        <f t="shared" si="41"/>
        <v>10643.999999999998</v>
      </c>
      <c r="I88" s="16">
        <f t="shared" si="42"/>
        <v>2052.999999999998</v>
      </c>
      <c r="J88" s="19">
        <f>I88/E88</f>
        <v>0.23897101617972275</v>
      </c>
      <c r="K88" s="72" t="s">
        <v>223</v>
      </c>
      <c r="L88" s="97">
        <v>123.03</v>
      </c>
      <c r="M88" s="41">
        <f t="shared" si="44"/>
        <v>106.39200000000001</v>
      </c>
      <c r="N88" s="118">
        <v>141.88</v>
      </c>
      <c r="O88" s="116"/>
      <c r="P88" s="116" t="s">
        <v>92</v>
      </c>
      <c r="Q88" s="117"/>
      <c r="R88" s="118"/>
      <c r="S88" s="117"/>
      <c r="T88" s="116"/>
      <c r="V88" s="131"/>
    </row>
    <row r="89" spans="1:22" s="114" customFormat="1" ht="15">
      <c r="A89" s="12" t="s">
        <v>92</v>
      </c>
      <c r="B89" s="65">
        <v>42012.39513888889</v>
      </c>
      <c r="C89" s="14">
        <v>117.75</v>
      </c>
      <c r="D89" s="15">
        <v>50</v>
      </c>
      <c r="E89" s="15">
        <f t="shared" si="40"/>
        <v>5898.5</v>
      </c>
      <c r="F89" s="13">
        <v>42118.441666666666</v>
      </c>
      <c r="G89" s="14">
        <v>141.92</v>
      </c>
      <c r="H89" s="15">
        <f t="shared" si="41"/>
        <v>7095.999999999999</v>
      </c>
      <c r="I89" s="16">
        <f t="shared" si="42"/>
        <v>1197.499999999999</v>
      </c>
      <c r="J89" s="19">
        <f>I89/E89</f>
        <v>0.20301771636856814</v>
      </c>
      <c r="K89" s="95" t="s">
        <v>224</v>
      </c>
      <c r="L89" s="97">
        <v>123.03</v>
      </c>
      <c r="M89" s="41">
        <f t="shared" si="44"/>
        <v>109.50750000000001</v>
      </c>
      <c r="N89" s="118">
        <v>141.88</v>
      </c>
      <c r="O89" s="116"/>
      <c r="P89" s="116" t="s">
        <v>92</v>
      </c>
      <c r="Q89" s="117"/>
      <c r="R89" s="118"/>
      <c r="S89" s="117"/>
      <c r="T89" s="116"/>
      <c r="V89" s="131"/>
    </row>
    <row r="90" spans="1:22" s="114" customFormat="1" ht="15">
      <c r="A90" s="12" t="s">
        <v>92</v>
      </c>
      <c r="B90" s="65">
        <v>42061.55972222222</v>
      </c>
      <c r="C90" s="14">
        <v>131.5</v>
      </c>
      <c r="D90" s="15">
        <v>50</v>
      </c>
      <c r="E90" s="15">
        <f t="shared" si="40"/>
        <v>6586</v>
      </c>
      <c r="F90" s="13">
        <v>42118.441666666666</v>
      </c>
      <c r="G90" s="14">
        <v>141.92</v>
      </c>
      <c r="H90" s="15">
        <f t="shared" si="41"/>
        <v>7095.999999999999</v>
      </c>
      <c r="I90" s="16">
        <f t="shared" si="42"/>
        <v>509.9999999999991</v>
      </c>
      <c r="J90" s="19">
        <f>I90/E90</f>
        <v>0.07743698754934696</v>
      </c>
      <c r="K90" s="95" t="s">
        <v>225</v>
      </c>
      <c r="L90" s="97">
        <v>123.03</v>
      </c>
      <c r="M90" s="41">
        <f t="shared" si="44"/>
        <v>122.295</v>
      </c>
      <c r="N90" s="118">
        <v>141.88</v>
      </c>
      <c r="O90" s="116"/>
      <c r="P90" s="116" t="s">
        <v>92</v>
      </c>
      <c r="Q90" s="117"/>
      <c r="R90" s="118"/>
      <c r="S90" s="117"/>
      <c r="T90" s="116"/>
      <c r="V90" s="131"/>
    </row>
    <row r="91" s="114" customFormat="1" ht="15"/>
    <row r="92" spans="1:11" s="114" customFormat="1" ht="15">
      <c r="A92" s="2" t="s">
        <v>32</v>
      </c>
      <c r="B92" s="2"/>
      <c r="C92" s="2"/>
      <c r="D92" s="6">
        <f>SUM(D87:D91)</f>
        <v>305</v>
      </c>
      <c r="E92" s="6">
        <f>SUM(E87:E91)</f>
        <v>35633.5</v>
      </c>
      <c r="F92" s="2"/>
      <c r="G92" s="2"/>
      <c r="H92" s="6">
        <f>SUM(H87:H91)</f>
        <v>43285.6</v>
      </c>
      <c r="I92" s="45">
        <f>SUM(I87:I91)</f>
        <v>7652.099999999995</v>
      </c>
      <c r="J92" s="46">
        <f>I92/E92</f>
        <v>0.2147445521770243</v>
      </c>
      <c r="K92" s="47" t="s">
        <v>227</v>
      </c>
    </row>
    <row r="93" spans="1:11" s="114" customFormat="1" ht="15">
      <c r="A93" s="2"/>
      <c r="B93" s="2"/>
      <c r="C93" s="2"/>
      <c r="D93" s="2"/>
      <c r="E93" s="48"/>
      <c r="F93" s="2"/>
      <c r="G93" s="2"/>
      <c r="H93" s="29"/>
      <c r="I93" s="45">
        <f>H92-E92</f>
        <v>7652.0999999999985</v>
      </c>
      <c r="J93" s="46"/>
      <c r="K93" s="47" t="s">
        <v>228</v>
      </c>
    </row>
    <row r="94" spans="1:11" s="114" customFormat="1" ht="15">
      <c r="A94" s="386" t="s">
        <v>33</v>
      </c>
      <c r="B94" s="386"/>
      <c r="C94" s="386"/>
      <c r="D94" s="2"/>
      <c r="E94" s="48"/>
      <c r="F94" s="2"/>
      <c r="G94" s="49"/>
      <c r="H94" s="50"/>
      <c r="I94" s="51">
        <f>F90-B87</f>
        <v>107.99375000000146</v>
      </c>
      <c r="J94" s="52"/>
      <c r="K94" s="47" t="s">
        <v>229</v>
      </c>
    </row>
    <row r="95" spans="1:10" s="114" customFormat="1" ht="15">
      <c r="A95" s="387" t="s">
        <v>202</v>
      </c>
      <c r="B95" s="387"/>
      <c r="C95" s="387"/>
      <c r="D95" s="2"/>
      <c r="E95" s="48"/>
      <c r="F95" s="2"/>
      <c r="G95" s="48"/>
      <c r="H95" s="50"/>
      <c r="I95" s="46">
        <f>(((E92+I92)/E92)^(365/I94))-1</f>
        <v>0.9299426278650376</v>
      </c>
      <c r="J95" s="46"/>
    </row>
    <row r="96" s="114" customFormat="1" ht="15"/>
    <row r="97" s="114" customFormat="1" ht="15"/>
    <row r="98" spans="1:22" s="114" customFormat="1" ht="15">
      <c r="A98" s="12" t="s">
        <v>45</v>
      </c>
      <c r="B98" s="65">
        <v>42080.325694444444</v>
      </c>
      <c r="C98" s="14">
        <v>20.12</v>
      </c>
      <c r="D98" s="15">
        <v>1000</v>
      </c>
      <c r="E98" s="15">
        <f aca="true" t="shared" si="45" ref="E98:E104">C98*D98+11</f>
        <v>20131</v>
      </c>
      <c r="F98" s="13">
        <v>42160.43819444445</v>
      </c>
      <c r="G98" s="14">
        <v>35.33</v>
      </c>
      <c r="H98" s="15">
        <f aca="true" t="shared" si="46" ref="H98:H104">G98*D98</f>
        <v>35330</v>
      </c>
      <c r="I98" s="16">
        <f aca="true" t="shared" si="47" ref="I98:I104">H98-E98</f>
        <v>15199</v>
      </c>
      <c r="J98" s="19">
        <f aca="true" t="shared" si="48" ref="J98:J104">I98/E98</f>
        <v>0.7550047190899608</v>
      </c>
      <c r="K98" s="95" t="s">
        <v>186</v>
      </c>
      <c r="L98" s="119">
        <v>32.46</v>
      </c>
      <c r="M98" s="41">
        <f aca="true" t="shared" si="49" ref="M98:M104">C98*0.93</f>
        <v>18.7116</v>
      </c>
      <c r="N98" s="118">
        <v>32</v>
      </c>
      <c r="O98" s="121">
        <v>42159</v>
      </c>
      <c r="P98" s="116" t="s">
        <v>45</v>
      </c>
      <c r="Q98" s="117">
        <v>37.97</v>
      </c>
      <c r="R98" s="118">
        <f>Q98*0.855</f>
        <v>32.464349999999996</v>
      </c>
      <c r="S98" s="117">
        <f>1.11*C98</f>
        <v>22.3332</v>
      </c>
      <c r="T98" s="116"/>
      <c r="U98" s="117"/>
      <c r="V98" s="15"/>
    </row>
    <row r="99" spans="1:22" s="114" customFormat="1" ht="15">
      <c r="A99" s="12" t="s">
        <v>45</v>
      </c>
      <c r="B99" s="65">
        <v>42081.30972222222</v>
      </c>
      <c r="C99" s="14">
        <v>21.46</v>
      </c>
      <c r="D99" s="15">
        <v>500</v>
      </c>
      <c r="E99" s="15">
        <f t="shared" si="45"/>
        <v>10741</v>
      </c>
      <c r="F99" s="13">
        <v>42160.43819444445</v>
      </c>
      <c r="G99" s="14">
        <v>35.33</v>
      </c>
      <c r="H99" s="15">
        <f t="shared" si="46"/>
        <v>17665</v>
      </c>
      <c r="I99" s="16">
        <f t="shared" si="47"/>
        <v>6924</v>
      </c>
      <c r="J99" s="19">
        <f t="shared" si="48"/>
        <v>0.6446327157620333</v>
      </c>
      <c r="K99" s="95" t="s">
        <v>198</v>
      </c>
      <c r="L99" s="119">
        <v>32.46</v>
      </c>
      <c r="M99" s="41">
        <f t="shared" si="49"/>
        <v>19.957800000000002</v>
      </c>
      <c r="N99" s="118">
        <v>32</v>
      </c>
      <c r="O99" s="116"/>
      <c r="P99" s="116" t="s">
        <v>45</v>
      </c>
      <c r="Q99" s="117"/>
      <c r="R99" s="118"/>
      <c r="S99" s="117"/>
      <c r="T99" s="116"/>
      <c r="V99" s="15"/>
    </row>
    <row r="100" spans="1:22" s="114" customFormat="1" ht="15">
      <c r="A100" s="12" t="s">
        <v>45</v>
      </c>
      <c r="B100" s="65">
        <v>42082.32986111111</v>
      </c>
      <c r="C100" s="14">
        <v>23.1</v>
      </c>
      <c r="D100" s="15">
        <v>780</v>
      </c>
      <c r="E100" s="15">
        <f t="shared" si="45"/>
        <v>18029</v>
      </c>
      <c r="F100" s="13">
        <v>42160.43819444445</v>
      </c>
      <c r="G100" s="14">
        <v>35.33</v>
      </c>
      <c r="H100" s="15">
        <f t="shared" si="46"/>
        <v>27557.399999999998</v>
      </c>
      <c r="I100" s="16">
        <f t="shared" si="47"/>
        <v>9528.399999999998</v>
      </c>
      <c r="J100" s="19">
        <f t="shared" si="48"/>
        <v>0.5285040767652115</v>
      </c>
      <c r="K100" s="95" t="s">
        <v>188</v>
      </c>
      <c r="L100" s="119">
        <v>32.46</v>
      </c>
      <c r="M100" s="41">
        <f t="shared" si="49"/>
        <v>21.483000000000004</v>
      </c>
      <c r="N100" s="118">
        <v>32</v>
      </c>
      <c r="O100" s="116"/>
      <c r="P100" s="116" t="s">
        <v>45</v>
      </c>
      <c r="Q100" s="117"/>
      <c r="R100" s="118"/>
      <c r="S100" s="117"/>
      <c r="T100" s="116"/>
      <c r="V100" s="15"/>
    </row>
    <row r="101" spans="1:22" s="114" customFormat="1" ht="15">
      <c r="A101" s="12" t="s">
        <v>45</v>
      </c>
      <c r="B101" s="65">
        <v>42090.27291666667</v>
      </c>
      <c r="C101" s="14">
        <v>23.65</v>
      </c>
      <c r="D101" s="15">
        <v>510</v>
      </c>
      <c r="E101" s="15">
        <f t="shared" si="45"/>
        <v>12072.5</v>
      </c>
      <c r="F101" s="13">
        <v>42160.43819444445</v>
      </c>
      <c r="G101" s="14">
        <v>35.33</v>
      </c>
      <c r="H101" s="15">
        <f t="shared" si="46"/>
        <v>18018.3</v>
      </c>
      <c r="I101" s="16">
        <f t="shared" si="47"/>
        <v>5945.799999999999</v>
      </c>
      <c r="J101" s="19">
        <f t="shared" si="48"/>
        <v>0.49250776558293635</v>
      </c>
      <c r="K101" s="95" t="s">
        <v>199</v>
      </c>
      <c r="L101" s="119">
        <v>32.46</v>
      </c>
      <c r="M101" s="41">
        <f t="shared" si="49"/>
        <v>21.9945</v>
      </c>
      <c r="N101" s="118">
        <v>32</v>
      </c>
      <c r="O101" s="116"/>
      <c r="P101" s="116" t="s">
        <v>45</v>
      </c>
      <c r="Q101" s="117"/>
      <c r="R101" s="118"/>
      <c r="S101" s="117"/>
      <c r="T101" s="116"/>
      <c r="V101" s="15"/>
    </row>
    <row r="102" spans="1:22" s="114" customFormat="1" ht="15">
      <c r="A102" s="12" t="s">
        <v>45</v>
      </c>
      <c r="B102" s="65">
        <v>42102.27916666667</v>
      </c>
      <c r="C102" s="14">
        <v>26.2</v>
      </c>
      <c r="D102" s="15">
        <v>560</v>
      </c>
      <c r="E102" s="15">
        <f t="shared" si="45"/>
        <v>14683</v>
      </c>
      <c r="F102" s="13">
        <v>42160.43819444445</v>
      </c>
      <c r="G102" s="14">
        <v>35.33</v>
      </c>
      <c r="H102" s="15">
        <f t="shared" si="46"/>
        <v>19784.8</v>
      </c>
      <c r="I102" s="16">
        <f t="shared" si="47"/>
        <v>5101.799999999999</v>
      </c>
      <c r="J102" s="19">
        <f t="shared" si="48"/>
        <v>0.34746305250970505</v>
      </c>
      <c r="K102" s="95" t="s">
        <v>218</v>
      </c>
      <c r="L102" s="119">
        <v>32.46</v>
      </c>
      <c r="M102" s="41">
        <f t="shared" si="49"/>
        <v>24.366</v>
      </c>
      <c r="N102" s="118">
        <v>32</v>
      </c>
      <c r="O102" s="116"/>
      <c r="P102" s="116" t="s">
        <v>45</v>
      </c>
      <c r="Q102" s="117"/>
      <c r="R102" s="118"/>
      <c r="S102" s="117"/>
      <c r="T102" s="116"/>
      <c r="V102" s="15"/>
    </row>
    <row r="103" spans="1:22" s="114" customFormat="1" ht="15">
      <c r="A103" s="12" t="s">
        <v>45</v>
      </c>
      <c r="B103" s="65">
        <v>42109.40833333333</v>
      </c>
      <c r="C103" s="14">
        <v>29.02</v>
      </c>
      <c r="D103" s="15">
        <v>670</v>
      </c>
      <c r="E103" s="15">
        <f t="shared" si="45"/>
        <v>19454.4</v>
      </c>
      <c r="F103" s="13">
        <v>42160.43819444445</v>
      </c>
      <c r="G103" s="14">
        <v>35.33</v>
      </c>
      <c r="H103" s="15">
        <f t="shared" si="46"/>
        <v>23671.1</v>
      </c>
      <c r="I103" s="16">
        <f t="shared" si="47"/>
        <v>4216.699999999997</v>
      </c>
      <c r="J103" s="19">
        <f t="shared" si="48"/>
        <v>0.21674788222715669</v>
      </c>
      <c r="K103" s="95" t="s">
        <v>245</v>
      </c>
      <c r="L103" s="119">
        <v>32.46</v>
      </c>
      <c r="M103" s="41">
        <f t="shared" si="49"/>
        <v>26.9886</v>
      </c>
      <c r="N103" s="118">
        <v>32</v>
      </c>
      <c r="O103" s="116"/>
      <c r="P103" s="116" t="s">
        <v>45</v>
      </c>
      <c r="Q103" s="117"/>
      <c r="R103" s="118"/>
      <c r="S103" s="117"/>
      <c r="T103" s="116"/>
      <c r="V103" s="15"/>
    </row>
    <row r="104" spans="1:23" s="114" customFormat="1" ht="15">
      <c r="A104" s="12" t="s">
        <v>45</v>
      </c>
      <c r="B104" s="65">
        <v>42115.27291666667</v>
      </c>
      <c r="C104" s="14">
        <v>31.27</v>
      </c>
      <c r="D104" s="15">
        <v>670</v>
      </c>
      <c r="E104" s="15">
        <f t="shared" si="45"/>
        <v>20961.9</v>
      </c>
      <c r="F104" s="13">
        <v>42160.43819444445</v>
      </c>
      <c r="G104" s="14">
        <v>35.33</v>
      </c>
      <c r="H104" s="15">
        <f t="shared" si="46"/>
        <v>23671.1</v>
      </c>
      <c r="I104" s="16">
        <f t="shared" si="47"/>
        <v>2709.199999999997</v>
      </c>
      <c r="J104" s="19">
        <f t="shared" si="48"/>
        <v>0.12924400936937955</v>
      </c>
      <c r="K104" s="95" t="s">
        <v>235</v>
      </c>
      <c r="L104" s="119">
        <v>32.46</v>
      </c>
      <c r="M104" s="41">
        <f t="shared" si="49"/>
        <v>29.081100000000003</v>
      </c>
      <c r="N104" s="118">
        <v>32</v>
      </c>
      <c r="O104" s="116"/>
      <c r="P104" s="116" t="s">
        <v>45</v>
      </c>
      <c r="Q104" s="117"/>
      <c r="R104" s="118"/>
      <c r="S104" s="117"/>
      <c r="T104" s="116"/>
      <c r="V104" s="15"/>
      <c r="W104" s="29"/>
    </row>
    <row r="105" s="114" customFormat="1" ht="15"/>
    <row r="106" spans="1:11" s="114" customFormat="1" ht="15">
      <c r="A106" s="2" t="s">
        <v>32</v>
      </c>
      <c r="B106" s="2"/>
      <c r="C106" s="2"/>
      <c r="D106" s="6">
        <f>SUM(D98:D105)</f>
        <v>4690</v>
      </c>
      <c r="E106" s="6">
        <f>SUM(E98:E105)</f>
        <v>116072.79999999999</v>
      </c>
      <c r="F106" s="2"/>
      <c r="G106" s="2"/>
      <c r="H106" s="6">
        <f>SUM(H98:H105)</f>
        <v>165697.7</v>
      </c>
      <c r="I106" s="45">
        <f>SUM(I98:I105)</f>
        <v>49624.899999999994</v>
      </c>
      <c r="J106" s="46">
        <f>I106/E106</f>
        <v>0.4275325485385034</v>
      </c>
      <c r="K106" s="47" t="s">
        <v>258</v>
      </c>
    </row>
    <row r="107" spans="1:11" s="114" customFormat="1" ht="15">
      <c r="A107" s="2"/>
      <c r="B107" s="2"/>
      <c r="C107" s="2"/>
      <c r="D107" s="2"/>
      <c r="E107" s="48"/>
      <c r="F107" s="2"/>
      <c r="G107" s="2"/>
      <c r="H107" s="29"/>
      <c r="I107" s="45">
        <f>H106-E106</f>
        <v>49624.90000000002</v>
      </c>
      <c r="J107" s="46"/>
      <c r="K107" s="47"/>
    </row>
    <row r="108" spans="1:11" s="114" customFormat="1" ht="15">
      <c r="A108" s="386" t="s">
        <v>33</v>
      </c>
      <c r="B108" s="386"/>
      <c r="C108" s="386"/>
      <c r="D108" s="2"/>
      <c r="E108" s="48"/>
      <c r="F108" s="2"/>
      <c r="G108" s="49"/>
      <c r="H108" s="50"/>
      <c r="I108" s="51">
        <f>F104-B98</f>
        <v>80.11250000000291</v>
      </c>
      <c r="J108" s="52"/>
      <c r="K108" s="47"/>
    </row>
    <row r="109" spans="1:10" s="114" customFormat="1" ht="15">
      <c r="A109" s="387" t="s">
        <v>202</v>
      </c>
      <c r="B109" s="387"/>
      <c r="C109" s="387"/>
      <c r="D109" s="2"/>
      <c r="E109" s="48"/>
      <c r="F109" s="2"/>
      <c r="G109" s="48"/>
      <c r="H109" s="50"/>
      <c r="I109" s="46">
        <f>(((E106+I106)/E106)^(365/I108))-1</f>
        <v>4.061838433819242</v>
      </c>
      <c r="J109" s="46"/>
    </row>
    <row r="110" s="114" customFormat="1" ht="15"/>
    <row r="111" s="114" customFormat="1" ht="15"/>
    <row r="112" spans="1:22" s="114" customFormat="1" ht="15">
      <c r="A112" s="12" t="s">
        <v>49</v>
      </c>
      <c r="B112" s="65">
        <v>42117.345138888886</v>
      </c>
      <c r="C112" s="14">
        <v>117.5</v>
      </c>
      <c r="D112" s="15">
        <v>215</v>
      </c>
      <c r="E112" s="15">
        <f aca="true" t="shared" si="50" ref="E112:E115">C112*D112+11</f>
        <v>25273.5</v>
      </c>
      <c r="F112" s="13">
        <v>42166.27847222222</v>
      </c>
      <c r="G112" s="14">
        <v>149.95</v>
      </c>
      <c r="H112" s="15">
        <f aca="true" t="shared" si="51" ref="H112:H115">G112*D112</f>
        <v>32239.249999999996</v>
      </c>
      <c r="I112" s="16">
        <f aca="true" t="shared" si="52" ref="I112:I115">H112-E112</f>
        <v>6965.749999999996</v>
      </c>
      <c r="J112" s="19">
        <f aca="true" t="shared" si="53" ref="J112:J115">I112/E112</f>
        <v>0.2756147743684095</v>
      </c>
      <c r="K112" s="95" t="s">
        <v>230</v>
      </c>
      <c r="L112" s="119">
        <v>129.4</v>
      </c>
      <c r="M112" s="41">
        <f aca="true" t="shared" si="54" ref="M112:M115">C112*0.93</f>
        <v>109.275</v>
      </c>
      <c r="N112" s="118">
        <v>148.09</v>
      </c>
      <c r="O112" s="121">
        <v>42159</v>
      </c>
      <c r="P112" s="116" t="s">
        <v>49</v>
      </c>
      <c r="Q112" s="117">
        <v>151.34</v>
      </c>
      <c r="R112" s="118">
        <f>Q112*0.855</f>
        <v>129.3957</v>
      </c>
      <c r="S112" s="117">
        <f>1.11*C112</f>
        <v>130.425</v>
      </c>
      <c r="T112" s="116"/>
      <c r="U112" s="117"/>
      <c r="V112" s="15"/>
    </row>
    <row r="113" spans="1:22" s="114" customFormat="1" ht="15">
      <c r="A113" s="12" t="s">
        <v>49</v>
      </c>
      <c r="B113" s="65">
        <v>42118.274305555555</v>
      </c>
      <c r="C113" s="14">
        <v>119.93</v>
      </c>
      <c r="D113" s="15">
        <v>125</v>
      </c>
      <c r="E113" s="15">
        <f t="shared" si="50"/>
        <v>15002.25</v>
      </c>
      <c r="F113" s="13">
        <v>42166.27847222222</v>
      </c>
      <c r="G113" s="14">
        <v>149.95</v>
      </c>
      <c r="H113" s="15">
        <f t="shared" si="51"/>
        <v>18743.75</v>
      </c>
      <c r="I113" s="16">
        <f t="shared" si="52"/>
        <v>3741.5</v>
      </c>
      <c r="J113" s="19">
        <f t="shared" si="53"/>
        <v>0.2493959239447416</v>
      </c>
      <c r="K113" s="95" t="s">
        <v>231</v>
      </c>
      <c r="L113" s="119">
        <v>129.4</v>
      </c>
      <c r="M113" s="41">
        <f t="shared" si="54"/>
        <v>111.53490000000001</v>
      </c>
      <c r="N113" s="118">
        <v>148.09</v>
      </c>
      <c r="O113" s="116"/>
      <c r="P113" s="116" t="s">
        <v>49</v>
      </c>
      <c r="Q113" s="117"/>
      <c r="R113" s="118"/>
      <c r="S113" s="117"/>
      <c r="T113" s="116"/>
      <c r="V113" s="15"/>
    </row>
    <row r="114" spans="1:22" s="114" customFormat="1" ht="15">
      <c r="A114" s="12" t="s">
        <v>49</v>
      </c>
      <c r="B114" s="65">
        <v>42118.285416666666</v>
      </c>
      <c r="C114" s="14">
        <v>122.62</v>
      </c>
      <c r="D114" s="15">
        <v>80</v>
      </c>
      <c r="E114" s="15">
        <f t="shared" si="50"/>
        <v>9820.6</v>
      </c>
      <c r="F114" s="13">
        <v>42166.27847222222</v>
      </c>
      <c r="G114" s="14">
        <v>149.95</v>
      </c>
      <c r="H114" s="15">
        <f t="shared" si="51"/>
        <v>11996</v>
      </c>
      <c r="I114" s="16">
        <f t="shared" si="52"/>
        <v>2175.3999999999996</v>
      </c>
      <c r="J114" s="19">
        <f t="shared" si="53"/>
        <v>0.2215139604504816</v>
      </c>
      <c r="K114" s="95" t="s">
        <v>232</v>
      </c>
      <c r="L114" s="119">
        <v>129.4</v>
      </c>
      <c r="M114" s="41">
        <f t="shared" si="54"/>
        <v>114.0366</v>
      </c>
      <c r="N114" s="118">
        <v>148.09</v>
      </c>
      <c r="O114" s="116"/>
      <c r="P114" s="116" t="s">
        <v>49</v>
      </c>
      <c r="Q114" s="117"/>
      <c r="R114" s="118"/>
      <c r="S114" s="117"/>
      <c r="T114" s="116"/>
      <c r="V114" s="15"/>
    </row>
    <row r="115" spans="1:23" s="114" customFormat="1" ht="15">
      <c r="A115" s="12" t="s">
        <v>49</v>
      </c>
      <c r="B115" s="65">
        <v>42138.27222222222</v>
      </c>
      <c r="C115" s="14">
        <v>138.86</v>
      </c>
      <c r="D115" s="15">
        <v>85</v>
      </c>
      <c r="E115" s="15">
        <f t="shared" si="50"/>
        <v>11814.1</v>
      </c>
      <c r="F115" s="13">
        <v>42166.27847222222</v>
      </c>
      <c r="G115" s="14">
        <v>149.95</v>
      </c>
      <c r="H115" s="15">
        <f t="shared" si="51"/>
        <v>12745.749999999998</v>
      </c>
      <c r="I115" s="16">
        <f t="shared" si="52"/>
        <v>931.6499999999978</v>
      </c>
      <c r="J115" s="19">
        <f t="shared" si="53"/>
        <v>0.07885915981750602</v>
      </c>
      <c r="K115" s="95" t="s">
        <v>242</v>
      </c>
      <c r="L115" s="119">
        <v>129.4</v>
      </c>
      <c r="M115" s="41">
        <f t="shared" si="54"/>
        <v>129.1398</v>
      </c>
      <c r="N115" s="118">
        <v>148.09</v>
      </c>
      <c r="O115" s="116"/>
      <c r="P115" s="116" t="s">
        <v>49</v>
      </c>
      <c r="Q115" s="117"/>
      <c r="R115" s="118"/>
      <c r="S115" s="117"/>
      <c r="T115" s="116"/>
      <c r="V115" s="15"/>
      <c r="W115" s="29"/>
    </row>
    <row r="116" s="114" customFormat="1" ht="15"/>
    <row r="117" spans="1:11" s="114" customFormat="1" ht="15">
      <c r="A117" s="2" t="s">
        <v>32</v>
      </c>
      <c r="B117" s="2"/>
      <c r="C117" s="2"/>
      <c r="D117" s="6">
        <f>SUM(D112:D116)</f>
        <v>505</v>
      </c>
      <c r="E117" s="6">
        <f>SUM(E112:E116)</f>
        <v>61910.45</v>
      </c>
      <c r="F117" s="2"/>
      <c r="G117" s="2"/>
      <c r="H117" s="6">
        <f>SUM(H112:H116)</f>
        <v>75724.75</v>
      </c>
      <c r="I117" s="45">
        <f>SUM(I112:I116)</f>
        <v>13814.299999999994</v>
      </c>
      <c r="J117" s="46">
        <f>I117/E117</f>
        <v>0.2231335743804155</v>
      </c>
      <c r="K117" s="47" t="s">
        <v>262</v>
      </c>
    </row>
    <row r="118" spans="1:11" s="114" customFormat="1" ht="15">
      <c r="A118" s="2"/>
      <c r="B118" s="2"/>
      <c r="C118" s="2"/>
      <c r="D118" s="2"/>
      <c r="E118" s="48"/>
      <c r="F118" s="2"/>
      <c r="G118" s="2"/>
      <c r="H118" s="29"/>
      <c r="I118" s="45">
        <f>H117-E117</f>
        <v>13814.300000000003</v>
      </c>
      <c r="J118" s="46"/>
      <c r="K118" s="47"/>
    </row>
    <row r="119" spans="1:11" s="114" customFormat="1" ht="15">
      <c r="A119" s="386" t="s">
        <v>33</v>
      </c>
      <c r="B119" s="386"/>
      <c r="C119" s="386"/>
      <c r="D119" s="2"/>
      <c r="E119" s="48"/>
      <c r="F119" s="2"/>
      <c r="G119" s="49"/>
      <c r="H119" s="50"/>
      <c r="I119" s="51">
        <f>F115-B112</f>
        <v>48.9333333333343</v>
      </c>
      <c r="J119" s="52"/>
      <c r="K119" s="47"/>
    </row>
    <row r="120" spans="1:10" s="114" customFormat="1" ht="15">
      <c r="A120" s="387" t="s">
        <v>202</v>
      </c>
      <c r="B120" s="387"/>
      <c r="C120" s="387"/>
      <c r="D120" s="2"/>
      <c r="E120" s="48"/>
      <c r="F120" s="2"/>
      <c r="G120" s="48"/>
      <c r="H120" s="50"/>
      <c r="I120" s="46">
        <f>(((E117+I117)/E117)^(365/I119))-1</f>
        <v>3.492405281879635</v>
      </c>
      <c r="J120" s="46"/>
    </row>
    <row r="121" s="114" customFormat="1" ht="15"/>
    <row r="122" s="114" customFormat="1" ht="15"/>
    <row r="123" spans="1:22" s="114" customFormat="1" ht="15">
      <c r="A123" s="12" t="s">
        <v>39</v>
      </c>
      <c r="B123" s="65">
        <v>42062.53680555556</v>
      </c>
      <c r="C123" s="14">
        <v>57.65</v>
      </c>
      <c r="D123" s="15">
        <v>100</v>
      </c>
      <c r="E123" s="15">
        <f aca="true" t="shared" si="55" ref="E123:E128">C123*D123+11</f>
        <v>5776</v>
      </c>
      <c r="F123" s="13">
        <v>42174.51944444444</v>
      </c>
      <c r="G123" s="14">
        <v>119.02</v>
      </c>
      <c r="H123" s="15">
        <f aca="true" t="shared" si="56" ref="H123:H128">G123*D123</f>
        <v>11902</v>
      </c>
      <c r="I123" s="16">
        <f aca="true" t="shared" si="57" ref="I123:I128">H123-E123</f>
        <v>6126</v>
      </c>
      <c r="J123" s="19">
        <f aca="true" t="shared" si="58" ref="J123:J128">I123/E123</f>
        <v>1.060595567867036</v>
      </c>
      <c r="K123" s="72" t="s">
        <v>267</v>
      </c>
      <c r="L123" s="143" t="s">
        <v>250</v>
      </c>
      <c r="M123" s="41">
        <f aca="true" t="shared" si="59" ref="M123:M128">C123*0.93</f>
        <v>53.6145</v>
      </c>
      <c r="N123" s="142">
        <v>79</v>
      </c>
      <c r="O123" s="121">
        <v>42124</v>
      </c>
      <c r="P123" s="116" t="s">
        <v>39</v>
      </c>
      <c r="Q123" s="117">
        <v>120</v>
      </c>
      <c r="R123" s="118">
        <f>Q123*0.855</f>
        <v>102.6</v>
      </c>
      <c r="S123" s="117">
        <f>1.11*C123</f>
        <v>63.9915</v>
      </c>
      <c r="T123" s="116"/>
      <c r="U123" s="117"/>
      <c r="V123" s="15"/>
    </row>
    <row r="124" spans="1:22" s="114" customFormat="1" ht="15">
      <c r="A124" s="12" t="s">
        <v>39</v>
      </c>
      <c r="B124" s="65">
        <v>42073.322916666664</v>
      </c>
      <c r="C124" s="14">
        <v>65.15</v>
      </c>
      <c r="D124" s="15">
        <v>350</v>
      </c>
      <c r="E124" s="15">
        <f t="shared" si="55"/>
        <v>22813.500000000004</v>
      </c>
      <c r="F124" s="13">
        <v>42174.51944444444</v>
      </c>
      <c r="G124" s="14">
        <v>119.02</v>
      </c>
      <c r="H124" s="15">
        <f t="shared" si="56"/>
        <v>41657</v>
      </c>
      <c r="I124" s="16">
        <f t="shared" si="57"/>
        <v>18843.499999999996</v>
      </c>
      <c r="J124" s="19">
        <f t="shared" si="58"/>
        <v>0.8259802310035722</v>
      </c>
      <c r="K124" s="95" t="s">
        <v>164</v>
      </c>
      <c r="L124" s="143" t="s">
        <v>250</v>
      </c>
      <c r="M124" s="41">
        <f t="shared" si="59"/>
        <v>60.58950000000001</v>
      </c>
      <c r="N124" s="142">
        <v>79</v>
      </c>
      <c r="O124" s="116"/>
      <c r="P124" s="116" t="s">
        <v>39</v>
      </c>
      <c r="Q124" s="117"/>
      <c r="R124" s="118"/>
      <c r="S124" s="117"/>
      <c r="T124" s="116"/>
      <c r="V124" s="15"/>
    </row>
    <row r="125" spans="1:22" s="114" customFormat="1" ht="15">
      <c r="A125" s="12" t="s">
        <v>39</v>
      </c>
      <c r="B125" s="65">
        <v>42073.35555555556</v>
      </c>
      <c r="C125" s="14">
        <v>66.15</v>
      </c>
      <c r="D125" s="15">
        <v>110</v>
      </c>
      <c r="E125" s="15">
        <f t="shared" si="55"/>
        <v>7287.500000000001</v>
      </c>
      <c r="F125" s="13">
        <v>42174.51944444444</v>
      </c>
      <c r="G125" s="14">
        <v>119.02</v>
      </c>
      <c r="H125" s="15">
        <f t="shared" si="56"/>
        <v>13092.199999999999</v>
      </c>
      <c r="I125" s="16">
        <f t="shared" si="57"/>
        <v>5804.699999999998</v>
      </c>
      <c r="J125" s="19">
        <f t="shared" si="58"/>
        <v>0.7965283018867921</v>
      </c>
      <c r="K125" s="72" t="s">
        <v>249</v>
      </c>
      <c r="L125" s="143" t="s">
        <v>250</v>
      </c>
      <c r="M125" s="41">
        <f t="shared" si="59"/>
        <v>61.51950000000001</v>
      </c>
      <c r="N125" s="142">
        <v>79</v>
      </c>
      <c r="O125" s="116"/>
      <c r="P125" s="116" t="s">
        <v>39</v>
      </c>
      <c r="Q125" s="117"/>
      <c r="R125" s="118"/>
      <c r="S125" s="117"/>
      <c r="T125" s="116"/>
      <c r="V125" s="15"/>
    </row>
    <row r="126" spans="1:22" s="114" customFormat="1" ht="15">
      <c r="A126" s="12" t="s">
        <v>39</v>
      </c>
      <c r="B126" s="65">
        <v>42093.34375</v>
      </c>
      <c r="C126" s="14">
        <v>73.37</v>
      </c>
      <c r="D126" s="15">
        <v>110</v>
      </c>
      <c r="E126" s="15">
        <f t="shared" si="55"/>
        <v>8081.700000000001</v>
      </c>
      <c r="F126" s="13">
        <v>42174.51944444444</v>
      </c>
      <c r="G126" s="14">
        <v>119.02</v>
      </c>
      <c r="H126" s="15">
        <f t="shared" si="56"/>
        <v>13092.199999999999</v>
      </c>
      <c r="I126" s="16">
        <f t="shared" si="57"/>
        <v>5010.499999999998</v>
      </c>
      <c r="J126" s="19">
        <f t="shared" si="58"/>
        <v>0.6199809446032392</v>
      </c>
      <c r="K126" s="95" t="s">
        <v>268</v>
      </c>
      <c r="L126" s="143" t="s">
        <v>250</v>
      </c>
      <c r="M126" s="41">
        <f t="shared" si="59"/>
        <v>68.23410000000001</v>
      </c>
      <c r="N126" s="142">
        <v>79</v>
      </c>
      <c r="O126" s="116"/>
      <c r="P126" s="116" t="s">
        <v>39</v>
      </c>
      <c r="Q126" s="117"/>
      <c r="R126" s="118"/>
      <c r="S126" s="117"/>
      <c r="T126" s="116"/>
      <c r="V126" s="15"/>
    </row>
    <row r="127" spans="1:23" s="114" customFormat="1" ht="15">
      <c r="A127" s="12" t="s">
        <v>39</v>
      </c>
      <c r="B127" s="65">
        <v>42139.313888888886</v>
      </c>
      <c r="C127" s="14">
        <v>77.5</v>
      </c>
      <c r="D127" s="15">
        <v>200</v>
      </c>
      <c r="E127" s="15">
        <f t="shared" si="55"/>
        <v>15511</v>
      </c>
      <c r="F127" s="13">
        <v>42174.51944444444</v>
      </c>
      <c r="G127" s="14">
        <v>119.02</v>
      </c>
      <c r="H127" s="15">
        <f t="shared" si="56"/>
        <v>23804</v>
      </c>
      <c r="I127" s="16">
        <f t="shared" si="57"/>
        <v>8293</v>
      </c>
      <c r="J127" s="19">
        <f t="shared" si="58"/>
        <v>0.5346528270259816</v>
      </c>
      <c r="K127" s="95" t="s">
        <v>241</v>
      </c>
      <c r="L127" s="143" t="s">
        <v>250</v>
      </c>
      <c r="M127" s="41">
        <f t="shared" si="59"/>
        <v>72.075</v>
      </c>
      <c r="N127" s="142">
        <v>79</v>
      </c>
      <c r="O127" s="116"/>
      <c r="P127" s="116" t="s">
        <v>39</v>
      </c>
      <c r="Q127" s="117"/>
      <c r="R127" s="118"/>
      <c r="S127" s="117"/>
      <c r="T127" s="116"/>
      <c r="V127" s="15"/>
      <c r="W127" s="29"/>
    </row>
    <row r="128" spans="1:23" s="114" customFormat="1" ht="15">
      <c r="A128" s="12" t="s">
        <v>39</v>
      </c>
      <c r="B128" s="65">
        <v>42156.38402777778</v>
      </c>
      <c r="C128" s="14">
        <v>93.05</v>
      </c>
      <c r="D128" s="15">
        <v>180</v>
      </c>
      <c r="E128" s="15">
        <f t="shared" si="55"/>
        <v>16760</v>
      </c>
      <c r="F128" s="13">
        <v>42174.51944444444</v>
      </c>
      <c r="G128" s="14">
        <v>119.02</v>
      </c>
      <c r="H128" s="15">
        <f t="shared" si="56"/>
        <v>21423.6</v>
      </c>
      <c r="I128" s="16">
        <f t="shared" si="57"/>
        <v>4663.5999999999985</v>
      </c>
      <c r="J128" s="19">
        <f t="shared" si="58"/>
        <v>0.27825775656324575</v>
      </c>
      <c r="K128" s="95" t="s">
        <v>269</v>
      </c>
      <c r="L128" s="143" t="s">
        <v>250</v>
      </c>
      <c r="M128" s="20">
        <f t="shared" si="59"/>
        <v>86.5365</v>
      </c>
      <c r="N128" s="142">
        <v>79</v>
      </c>
      <c r="O128" s="116"/>
      <c r="P128" s="116" t="s">
        <v>39</v>
      </c>
      <c r="Q128" s="117"/>
      <c r="R128" s="118"/>
      <c r="S128" s="117"/>
      <c r="T128" s="116"/>
      <c r="V128" s="15"/>
      <c r="W128" s="29"/>
    </row>
    <row r="129" s="114" customFormat="1" ht="15"/>
    <row r="130" spans="1:11" s="114" customFormat="1" ht="15">
      <c r="A130" s="2" t="s">
        <v>32</v>
      </c>
      <c r="B130" s="2"/>
      <c r="C130" s="2"/>
      <c r="D130" s="6">
        <f>SUM(D123:D129)</f>
        <v>1050</v>
      </c>
      <c r="E130" s="6">
        <f>SUM(E123:E129)</f>
        <v>76229.70000000001</v>
      </c>
      <c r="F130" s="2"/>
      <c r="G130" s="2"/>
      <c r="H130" s="6">
        <f>SUM(H123:H129)</f>
        <v>124971</v>
      </c>
      <c r="I130" s="45">
        <f>SUM(I123:I129)</f>
        <v>48741.29999999999</v>
      </c>
      <c r="J130" s="46">
        <f>I130/E130</f>
        <v>0.6394003911861122</v>
      </c>
      <c r="K130" s="47" t="s">
        <v>258</v>
      </c>
    </row>
    <row r="131" spans="1:11" s="114" customFormat="1" ht="15">
      <c r="A131" s="2"/>
      <c r="B131" s="2"/>
      <c r="C131" s="2"/>
      <c r="D131" s="2"/>
      <c r="E131" s="48"/>
      <c r="F131" s="2"/>
      <c r="G131" s="2"/>
      <c r="H131" s="29"/>
      <c r="I131" s="45">
        <f>H130-E130</f>
        <v>48741.29999999999</v>
      </c>
      <c r="J131" s="46"/>
      <c r="K131" s="47"/>
    </row>
    <row r="132" spans="1:11" s="114" customFormat="1" ht="15">
      <c r="A132" s="386" t="s">
        <v>33</v>
      </c>
      <c r="B132" s="386"/>
      <c r="C132" s="386"/>
      <c r="D132" s="2"/>
      <c r="E132" s="48"/>
      <c r="F132" s="2"/>
      <c r="G132" s="49"/>
      <c r="H132" s="50"/>
      <c r="I132" s="51">
        <f>F128-B123</f>
        <v>111.98263888888323</v>
      </c>
      <c r="J132" s="52"/>
      <c r="K132" s="47"/>
    </row>
    <row r="133" spans="1:10" s="114" customFormat="1" ht="15">
      <c r="A133" s="387" t="s">
        <v>202</v>
      </c>
      <c r="B133" s="387"/>
      <c r="C133" s="387"/>
      <c r="D133" s="2"/>
      <c r="E133" s="48"/>
      <c r="F133" s="2"/>
      <c r="G133" s="48"/>
      <c r="H133" s="50"/>
      <c r="I133" s="46">
        <f>(((E130+I130)/E130)^(365/I132))-1</f>
        <v>4.009007256502634</v>
      </c>
      <c r="J133" s="46"/>
    </row>
    <row r="134" s="114" customFormat="1" ht="15"/>
    <row r="135" s="114" customFormat="1" ht="15"/>
    <row r="136" spans="1:22" s="114" customFormat="1" ht="15">
      <c r="A136" s="12" t="s">
        <v>52</v>
      </c>
      <c r="B136" s="65">
        <v>42046.27361111111</v>
      </c>
      <c r="C136" s="14">
        <v>129.75</v>
      </c>
      <c r="D136" s="15">
        <v>80</v>
      </c>
      <c r="E136" s="15">
        <f aca="true" t="shared" si="60" ref="E136:E142">C136*D136+11</f>
        <v>10391</v>
      </c>
      <c r="F136" s="65">
        <v>42180.28055555555</v>
      </c>
      <c r="G136" s="14">
        <v>178.65</v>
      </c>
      <c r="H136" s="15">
        <f aca="true" t="shared" si="61" ref="H136:H142">G136*D136</f>
        <v>14292</v>
      </c>
      <c r="I136" s="16">
        <f aca="true" t="shared" si="62" ref="I136:I142">H136-E136</f>
        <v>3901</v>
      </c>
      <c r="J136" s="19">
        <f aca="true" t="shared" si="63" ref="J136:J142">I136/E136</f>
        <v>0.3754210374362429</v>
      </c>
      <c r="K136" s="95" t="s">
        <v>135</v>
      </c>
      <c r="L136" s="140" t="s">
        <v>252</v>
      </c>
      <c r="M136" s="41">
        <f aca="true" t="shared" si="64" ref="M136:M142">C136*0.93</f>
        <v>120.6675</v>
      </c>
      <c r="N136" s="118">
        <v>161.78</v>
      </c>
      <c r="O136" s="121">
        <f>WORKDAY(B136,40,'Weekly Summary'!P$2:P$10)</f>
        <v>42104</v>
      </c>
      <c r="P136" s="116" t="s">
        <v>52</v>
      </c>
      <c r="Q136" s="117">
        <v>184.8</v>
      </c>
      <c r="R136" s="118">
        <f>Q136*0.855</f>
        <v>158.00400000000002</v>
      </c>
      <c r="S136" s="117">
        <f>1.11*C136</f>
        <v>144.0225</v>
      </c>
      <c r="T136" s="116"/>
      <c r="U136" s="117"/>
      <c r="V136" s="15"/>
    </row>
    <row r="137" spans="1:22" s="114" customFormat="1" ht="15">
      <c r="A137" s="12" t="s">
        <v>52</v>
      </c>
      <c r="B137" s="65">
        <v>42047.275</v>
      </c>
      <c r="C137" s="14">
        <v>133.95</v>
      </c>
      <c r="D137" s="15">
        <v>45</v>
      </c>
      <c r="E137" s="15">
        <f t="shared" si="60"/>
        <v>6038.749999999999</v>
      </c>
      <c r="F137" s="65">
        <v>42180.28055555555</v>
      </c>
      <c r="G137" s="14">
        <v>178.65</v>
      </c>
      <c r="H137" s="15">
        <f t="shared" si="61"/>
        <v>8039.25</v>
      </c>
      <c r="I137" s="16">
        <f t="shared" si="62"/>
        <v>2000.500000000001</v>
      </c>
      <c r="J137" s="19">
        <f t="shared" si="63"/>
        <v>0.3312771682881393</v>
      </c>
      <c r="K137" s="95" t="s">
        <v>136</v>
      </c>
      <c r="L137" s="140" t="s">
        <v>252</v>
      </c>
      <c r="M137" s="41">
        <f t="shared" si="64"/>
        <v>124.5735</v>
      </c>
      <c r="N137" s="118">
        <v>161.78</v>
      </c>
      <c r="O137" s="116"/>
      <c r="P137" s="116" t="s">
        <v>52</v>
      </c>
      <c r="Q137" s="117"/>
      <c r="R137" s="118"/>
      <c r="S137" s="117"/>
      <c r="T137" s="116"/>
      <c r="V137" s="15"/>
    </row>
    <row r="138" spans="1:22" s="114" customFormat="1" ht="15">
      <c r="A138" s="12" t="s">
        <v>52</v>
      </c>
      <c r="B138" s="65">
        <v>42048.450694444444</v>
      </c>
      <c r="C138" s="14">
        <v>135.8</v>
      </c>
      <c r="D138" s="15">
        <v>30</v>
      </c>
      <c r="E138" s="15">
        <f t="shared" si="60"/>
        <v>4085.0000000000005</v>
      </c>
      <c r="F138" s="65">
        <v>42180.28055555555</v>
      </c>
      <c r="G138" s="14">
        <v>178.65</v>
      </c>
      <c r="H138" s="15">
        <f t="shared" si="61"/>
        <v>5359.5</v>
      </c>
      <c r="I138" s="16">
        <f t="shared" si="62"/>
        <v>1274.4999999999995</v>
      </c>
      <c r="J138" s="19">
        <f t="shared" si="63"/>
        <v>0.3119951040391675</v>
      </c>
      <c r="K138" s="95" t="s">
        <v>143</v>
      </c>
      <c r="L138" s="140" t="s">
        <v>252</v>
      </c>
      <c r="M138" s="41">
        <f t="shared" si="64"/>
        <v>126.29400000000001</v>
      </c>
      <c r="N138" s="118">
        <v>161.78</v>
      </c>
      <c r="O138" s="116"/>
      <c r="P138" s="116" t="s">
        <v>52</v>
      </c>
      <c r="Q138" s="117"/>
      <c r="R138" s="118"/>
      <c r="S138" s="117"/>
      <c r="T138" s="116"/>
      <c r="V138" s="15"/>
    </row>
    <row r="139" spans="1:22" s="114" customFormat="1" ht="15">
      <c r="A139" s="12" t="s">
        <v>52</v>
      </c>
      <c r="B139" s="65">
        <v>42074.29027777778</v>
      </c>
      <c r="C139" s="14">
        <v>140.55</v>
      </c>
      <c r="D139" s="15">
        <v>30</v>
      </c>
      <c r="E139" s="15">
        <f t="shared" si="60"/>
        <v>4227.5</v>
      </c>
      <c r="F139" s="65">
        <v>42180.28055555555</v>
      </c>
      <c r="G139" s="14">
        <v>178.65</v>
      </c>
      <c r="H139" s="15">
        <f t="shared" si="61"/>
        <v>5359.5</v>
      </c>
      <c r="I139" s="16">
        <f t="shared" si="62"/>
        <v>1132</v>
      </c>
      <c r="J139" s="19">
        <f t="shared" si="63"/>
        <v>0.2677705499704317</v>
      </c>
      <c r="K139" s="95" t="s">
        <v>182</v>
      </c>
      <c r="L139" s="140" t="s">
        <v>252</v>
      </c>
      <c r="M139" s="41">
        <f t="shared" si="64"/>
        <v>130.71150000000003</v>
      </c>
      <c r="N139" s="118">
        <v>161.78</v>
      </c>
      <c r="O139" s="116"/>
      <c r="P139" s="116" t="s">
        <v>52</v>
      </c>
      <c r="Q139" s="117"/>
      <c r="R139" s="118"/>
      <c r="S139" s="117"/>
      <c r="T139" s="116"/>
      <c r="V139" s="15"/>
    </row>
    <row r="140" spans="1:23" s="114" customFormat="1" ht="15">
      <c r="A140" s="12" t="s">
        <v>52</v>
      </c>
      <c r="B140" s="65">
        <v>42093.27638888889</v>
      </c>
      <c r="C140" s="14">
        <v>149.29</v>
      </c>
      <c r="D140" s="15">
        <v>40</v>
      </c>
      <c r="E140" s="15">
        <f t="shared" si="60"/>
        <v>5982.599999999999</v>
      </c>
      <c r="F140" s="65">
        <v>42180.28055555555</v>
      </c>
      <c r="G140" s="14">
        <v>178.65</v>
      </c>
      <c r="H140" s="15">
        <f t="shared" si="61"/>
        <v>7146</v>
      </c>
      <c r="I140" s="16">
        <f t="shared" si="62"/>
        <v>1163.4000000000005</v>
      </c>
      <c r="J140" s="19">
        <f t="shared" si="63"/>
        <v>0.19446394544178128</v>
      </c>
      <c r="K140" s="95" t="s">
        <v>213</v>
      </c>
      <c r="L140" s="140" t="s">
        <v>252</v>
      </c>
      <c r="M140" s="41">
        <f t="shared" si="64"/>
        <v>138.8397</v>
      </c>
      <c r="N140" s="118">
        <v>161.78</v>
      </c>
      <c r="O140" s="116"/>
      <c r="P140" s="116" t="s">
        <v>52</v>
      </c>
      <c r="Q140" s="117"/>
      <c r="R140" s="118"/>
      <c r="S140" s="117"/>
      <c r="T140" s="116"/>
      <c r="V140" s="15"/>
      <c r="W140" s="29"/>
    </row>
    <row r="141" spans="1:24" s="114" customFormat="1" ht="15">
      <c r="A141" s="12" t="s">
        <v>52</v>
      </c>
      <c r="B141" s="65">
        <v>42142.46666666667</v>
      </c>
      <c r="C141" s="14">
        <v>158</v>
      </c>
      <c r="D141" s="15">
        <v>45</v>
      </c>
      <c r="E141" s="15">
        <f t="shared" si="60"/>
        <v>7121</v>
      </c>
      <c r="F141" s="65">
        <v>42180.28055555555</v>
      </c>
      <c r="G141" s="14">
        <v>178.65</v>
      </c>
      <c r="H141" s="15">
        <f t="shared" si="61"/>
        <v>8039.25</v>
      </c>
      <c r="I141" s="16">
        <f t="shared" si="62"/>
        <v>918.25</v>
      </c>
      <c r="J141" s="19">
        <f t="shared" si="63"/>
        <v>0.12894958573234097</v>
      </c>
      <c r="K141" s="95" t="s">
        <v>246</v>
      </c>
      <c r="L141" s="140" t="s">
        <v>252</v>
      </c>
      <c r="M141" s="41">
        <f t="shared" si="64"/>
        <v>146.94</v>
      </c>
      <c r="N141" s="118">
        <v>161.78</v>
      </c>
      <c r="O141" s="116"/>
      <c r="P141" s="116" t="s">
        <v>52</v>
      </c>
      <c r="Q141" s="117"/>
      <c r="R141" s="118"/>
      <c r="S141" s="117"/>
      <c r="T141" s="116"/>
      <c r="V141" s="15"/>
      <c r="W141" s="29"/>
      <c r="X141" s="29"/>
    </row>
    <row r="142" spans="1:24" s="114" customFormat="1" ht="15">
      <c r="A142" s="12" t="s">
        <v>52</v>
      </c>
      <c r="B142" s="65">
        <v>42152.50625</v>
      </c>
      <c r="C142" s="14">
        <v>168</v>
      </c>
      <c r="D142" s="15">
        <v>55</v>
      </c>
      <c r="E142" s="15">
        <f t="shared" si="60"/>
        <v>9251</v>
      </c>
      <c r="F142" s="65">
        <v>42180.28055555555</v>
      </c>
      <c r="G142" s="14">
        <v>178.65</v>
      </c>
      <c r="H142" s="15">
        <f t="shared" si="61"/>
        <v>9825.75</v>
      </c>
      <c r="I142" s="16">
        <f t="shared" si="62"/>
        <v>574.75</v>
      </c>
      <c r="J142" s="19">
        <f t="shared" si="63"/>
        <v>0.06212841854934602</v>
      </c>
      <c r="K142" s="95" t="s">
        <v>244</v>
      </c>
      <c r="L142" s="140" t="s">
        <v>254</v>
      </c>
      <c r="M142" s="41">
        <f t="shared" si="64"/>
        <v>156.24</v>
      </c>
      <c r="N142" s="118">
        <v>161.78</v>
      </c>
      <c r="O142" s="116"/>
      <c r="P142" s="116" t="s">
        <v>52</v>
      </c>
      <c r="Q142" s="117"/>
      <c r="R142" s="118"/>
      <c r="S142" s="117"/>
      <c r="T142" s="116"/>
      <c r="V142" s="15"/>
      <c r="W142" s="29"/>
      <c r="X142" s="29"/>
    </row>
    <row r="143" s="114" customFormat="1" ht="15"/>
    <row r="144" spans="1:11" s="114" customFormat="1" ht="15">
      <c r="A144" s="2" t="s">
        <v>32</v>
      </c>
      <c r="B144" s="2"/>
      <c r="C144" s="2"/>
      <c r="D144" s="6">
        <f>SUM(D136:D143)</f>
        <v>325</v>
      </c>
      <c r="E144" s="6">
        <f>SUM(E136:E143)</f>
        <v>47096.85</v>
      </c>
      <c r="F144" s="2"/>
      <c r="G144" s="2"/>
      <c r="H144" s="6">
        <f>SUM(H136:H143)</f>
        <v>58061.25</v>
      </c>
      <c r="I144" s="45">
        <f>SUM(I136:I143)</f>
        <v>10964.400000000001</v>
      </c>
      <c r="J144" s="46">
        <f>I144/E144</f>
        <v>0.2328053787036713</v>
      </c>
      <c r="K144" s="47" t="s">
        <v>258</v>
      </c>
    </row>
    <row r="145" spans="1:11" s="114" customFormat="1" ht="15">
      <c r="A145" s="2"/>
      <c r="B145" s="2"/>
      <c r="C145" s="2"/>
      <c r="D145" s="2"/>
      <c r="E145" s="48"/>
      <c r="F145" s="2"/>
      <c r="G145" s="2"/>
      <c r="H145" s="29"/>
      <c r="I145" s="45">
        <f>H144-E144</f>
        <v>10964.400000000001</v>
      </c>
      <c r="J145" s="46"/>
      <c r="K145" s="47"/>
    </row>
    <row r="146" spans="1:11" s="114" customFormat="1" ht="15">
      <c r="A146" s="386" t="s">
        <v>33</v>
      </c>
      <c r="B146" s="386"/>
      <c r="C146" s="386"/>
      <c r="D146" s="2"/>
      <c r="E146" s="48"/>
      <c r="F146" s="2"/>
      <c r="G146" s="49"/>
      <c r="H146" s="50"/>
      <c r="I146" s="51">
        <f>F142-B136</f>
        <v>134.00694444444525</v>
      </c>
      <c r="J146" s="52"/>
      <c r="K146" s="47"/>
    </row>
    <row r="147" spans="1:10" s="114" customFormat="1" ht="15">
      <c r="A147" s="387" t="s">
        <v>202</v>
      </c>
      <c r="B147" s="387"/>
      <c r="C147" s="387"/>
      <c r="D147" s="2"/>
      <c r="E147" s="48"/>
      <c r="F147" s="2"/>
      <c r="G147" s="48"/>
      <c r="H147" s="50"/>
      <c r="I147" s="46">
        <f>(((E144+I144)/E144)^(365/I146))-1</f>
        <v>0.7683693973262742</v>
      </c>
      <c r="J147" s="46"/>
    </row>
    <row r="148" s="114" customFormat="1" ht="15"/>
    <row r="149" s="114" customFormat="1" ht="15"/>
    <row r="150" spans="1:22" s="114" customFormat="1" ht="15">
      <c r="A150" s="12" t="s">
        <v>61</v>
      </c>
      <c r="B150" s="65">
        <v>42040.27847222222</v>
      </c>
      <c r="C150" s="14">
        <v>132.85</v>
      </c>
      <c r="D150" s="15">
        <v>110</v>
      </c>
      <c r="E150" s="15">
        <f aca="true" t="shared" si="65" ref="E150:E154">C150*D150+11</f>
        <v>14624.5</v>
      </c>
      <c r="F150" s="65">
        <v>42201.288194444445</v>
      </c>
      <c r="G150" s="14">
        <v>168.13</v>
      </c>
      <c r="H150" s="15">
        <f aca="true" t="shared" si="66" ref="H150:H154">G150*D150</f>
        <v>18494.3</v>
      </c>
      <c r="I150" s="16">
        <f aca="true" t="shared" si="67" ref="I150:I154">H150-E150</f>
        <v>3869.7999999999993</v>
      </c>
      <c r="J150" s="19">
        <f aca="true" t="shared" si="68" ref="J150:J154">I150/E150</f>
        <v>0.2646107559232794</v>
      </c>
      <c r="K150" s="95" t="s">
        <v>284</v>
      </c>
      <c r="L150" s="119">
        <v>139.96</v>
      </c>
      <c r="M150" s="41">
        <f aca="true" t="shared" si="69" ref="M150:M154">C150*0.93</f>
        <v>123.5505</v>
      </c>
      <c r="N150" s="118">
        <v>168.13</v>
      </c>
      <c r="O150" s="121">
        <v>42086</v>
      </c>
      <c r="P150" s="116" t="s">
        <v>61</v>
      </c>
      <c r="Q150" s="117">
        <v>163.7</v>
      </c>
      <c r="R150" s="118">
        <f>Q150*0.855</f>
        <v>139.96349999999998</v>
      </c>
      <c r="S150" s="117">
        <f>1.11*C150</f>
        <v>147.4635</v>
      </c>
      <c r="T150" s="116"/>
      <c r="U150" s="117"/>
      <c r="V150" s="15"/>
    </row>
    <row r="151" spans="1:22" s="114" customFormat="1" ht="15">
      <c r="A151" s="12" t="s">
        <v>61</v>
      </c>
      <c r="B151" s="65">
        <v>42045.27291666667</v>
      </c>
      <c r="C151" s="14">
        <v>135.9</v>
      </c>
      <c r="D151" s="15">
        <v>65</v>
      </c>
      <c r="E151" s="15">
        <f t="shared" si="65"/>
        <v>8844.5</v>
      </c>
      <c r="F151" s="65">
        <v>42201.288194444445</v>
      </c>
      <c r="G151" s="14">
        <v>168.13</v>
      </c>
      <c r="H151" s="15">
        <f t="shared" si="66"/>
        <v>10928.449999999999</v>
      </c>
      <c r="I151" s="16">
        <f t="shared" si="67"/>
        <v>2083.949999999999</v>
      </c>
      <c r="J151" s="19">
        <f t="shared" si="68"/>
        <v>0.23562100740573225</v>
      </c>
      <c r="K151" s="95" t="s">
        <v>285</v>
      </c>
      <c r="L151" s="119">
        <v>139.96</v>
      </c>
      <c r="M151" s="41">
        <f t="shared" si="69"/>
        <v>126.38700000000001</v>
      </c>
      <c r="N151" s="118">
        <v>168.13</v>
      </c>
      <c r="O151" s="116"/>
      <c r="P151" s="116" t="s">
        <v>61</v>
      </c>
      <c r="Q151" s="117"/>
      <c r="R151" s="118"/>
      <c r="S151" s="117"/>
      <c r="T151" s="116"/>
      <c r="V151" s="15"/>
    </row>
    <row r="152" spans="1:22" s="114" customFormat="1" ht="15">
      <c r="A152" s="12" t="s">
        <v>61</v>
      </c>
      <c r="B152" s="65">
        <v>42054.277083333334</v>
      </c>
      <c r="C152" s="14">
        <v>139.17</v>
      </c>
      <c r="D152" s="15">
        <v>40</v>
      </c>
      <c r="E152" s="15">
        <f t="shared" si="65"/>
        <v>5577.799999999999</v>
      </c>
      <c r="F152" s="65">
        <v>42201.288194444445</v>
      </c>
      <c r="G152" s="14">
        <v>168.13</v>
      </c>
      <c r="H152" s="15">
        <f t="shared" si="66"/>
        <v>6725.2</v>
      </c>
      <c r="I152" s="16">
        <f t="shared" si="67"/>
        <v>1147.4000000000005</v>
      </c>
      <c r="J152" s="19">
        <f t="shared" si="68"/>
        <v>0.20570834379145914</v>
      </c>
      <c r="K152" s="95" t="s">
        <v>293</v>
      </c>
      <c r="L152" s="119">
        <v>139.96</v>
      </c>
      <c r="M152" s="41">
        <f t="shared" si="69"/>
        <v>129.4281</v>
      </c>
      <c r="N152" s="118">
        <v>168.13</v>
      </c>
      <c r="O152" s="116"/>
      <c r="P152" s="116" t="s">
        <v>61</v>
      </c>
      <c r="Q152" s="117"/>
      <c r="R152" s="118"/>
      <c r="S152" s="117"/>
      <c r="T152" s="116"/>
      <c r="V152" s="15"/>
    </row>
    <row r="153" spans="1:22" s="114" customFormat="1" ht="15">
      <c r="A153" s="12" t="s">
        <v>61</v>
      </c>
      <c r="B153" s="65">
        <v>42075.56458333333</v>
      </c>
      <c r="C153" s="14">
        <v>154</v>
      </c>
      <c r="D153" s="15">
        <v>40</v>
      </c>
      <c r="E153" s="15">
        <f t="shared" si="65"/>
        <v>6171</v>
      </c>
      <c r="F153" s="65">
        <v>42201.288194444445</v>
      </c>
      <c r="G153" s="14">
        <v>168.13</v>
      </c>
      <c r="H153" s="15">
        <f t="shared" si="66"/>
        <v>6725.2</v>
      </c>
      <c r="I153" s="16">
        <f t="shared" si="67"/>
        <v>554.1999999999998</v>
      </c>
      <c r="J153" s="19">
        <f t="shared" si="68"/>
        <v>0.08980716253443523</v>
      </c>
      <c r="K153" s="95" t="s">
        <v>160</v>
      </c>
      <c r="L153" s="119"/>
      <c r="M153" s="20">
        <f t="shared" si="69"/>
        <v>143.22</v>
      </c>
      <c r="N153" s="118">
        <v>168.13</v>
      </c>
      <c r="O153" s="116"/>
      <c r="P153" s="116" t="s">
        <v>61</v>
      </c>
      <c r="Q153" s="117"/>
      <c r="R153" s="118"/>
      <c r="S153" s="117"/>
      <c r="T153" s="116"/>
      <c r="V153" s="15"/>
    </row>
    <row r="154" spans="1:23" s="114" customFormat="1" ht="15">
      <c r="A154" s="12" t="s">
        <v>61</v>
      </c>
      <c r="B154" s="65">
        <v>42109.27222222222</v>
      </c>
      <c r="C154" s="14">
        <v>156.13</v>
      </c>
      <c r="D154" s="15">
        <v>50</v>
      </c>
      <c r="E154" s="15">
        <f t="shared" si="65"/>
        <v>7817.5</v>
      </c>
      <c r="F154" s="65">
        <v>42201.288194444445</v>
      </c>
      <c r="G154" s="14">
        <v>168.13</v>
      </c>
      <c r="H154" s="15">
        <f t="shared" si="66"/>
        <v>8406.5</v>
      </c>
      <c r="I154" s="16">
        <f t="shared" si="67"/>
        <v>589</v>
      </c>
      <c r="J154" s="19">
        <f t="shared" si="68"/>
        <v>0.07534377998081228</v>
      </c>
      <c r="K154" s="95" t="s">
        <v>294</v>
      </c>
      <c r="L154" s="119"/>
      <c r="M154" s="20">
        <f t="shared" si="69"/>
        <v>145.2009</v>
      </c>
      <c r="N154" s="118">
        <v>168.13</v>
      </c>
      <c r="O154" s="116"/>
      <c r="P154" s="116" t="s">
        <v>61</v>
      </c>
      <c r="Q154" s="117"/>
      <c r="R154" s="118"/>
      <c r="S154" s="117"/>
      <c r="T154" s="116"/>
      <c r="V154" s="15"/>
      <c r="W154" s="29"/>
    </row>
    <row r="155" s="114" customFormat="1" ht="15"/>
    <row r="156" spans="1:11" s="114" customFormat="1" ht="15">
      <c r="A156" s="2" t="s">
        <v>32</v>
      </c>
      <c r="B156" s="2"/>
      <c r="C156" s="2"/>
      <c r="D156" s="6">
        <f>SUM(D150:D155)</f>
        <v>305</v>
      </c>
      <c r="E156" s="6">
        <f>SUM(E150:E155)</f>
        <v>43035.3</v>
      </c>
      <c r="F156" s="2"/>
      <c r="G156" s="2"/>
      <c r="H156" s="6">
        <f>SUM(H150:H155)</f>
        <v>51279.649999999994</v>
      </c>
      <c r="I156" s="45">
        <f>SUM(I150:I155)</f>
        <v>8244.349999999999</v>
      </c>
      <c r="J156" s="46">
        <f>I156/E156</f>
        <v>0.19157180268291374</v>
      </c>
      <c r="K156" s="47" t="s">
        <v>290</v>
      </c>
    </row>
    <row r="157" spans="1:11" s="114" customFormat="1" ht="15">
      <c r="A157" s="2"/>
      <c r="B157" s="2"/>
      <c r="C157" s="2"/>
      <c r="D157" s="2"/>
      <c r="E157" s="48"/>
      <c r="F157" s="2"/>
      <c r="G157" s="2"/>
      <c r="H157" s="29"/>
      <c r="I157" s="45">
        <f>H156-E156</f>
        <v>8244.349999999991</v>
      </c>
      <c r="J157" s="46"/>
      <c r="K157" s="47" t="s">
        <v>291</v>
      </c>
    </row>
    <row r="158" spans="1:11" s="114" customFormat="1" ht="15">
      <c r="A158" s="386" t="s">
        <v>33</v>
      </c>
      <c r="B158" s="386"/>
      <c r="C158" s="386"/>
      <c r="D158" s="2"/>
      <c r="E158" s="48"/>
      <c r="F158" s="2"/>
      <c r="G158" s="49"/>
      <c r="H158" s="50"/>
      <c r="I158" s="51">
        <f>F154-B150</f>
        <v>161.0097222222248</v>
      </c>
      <c r="J158" s="52"/>
      <c r="K158" s="47" t="s">
        <v>292</v>
      </c>
    </row>
    <row r="159" spans="1:10" s="114" customFormat="1" ht="15">
      <c r="A159" s="387" t="s">
        <v>202</v>
      </c>
      <c r="B159" s="387"/>
      <c r="C159" s="387"/>
      <c r="D159" s="2"/>
      <c r="E159" s="48"/>
      <c r="F159" s="2"/>
      <c r="G159" s="48"/>
      <c r="H159" s="50"/>
      <c r="I159" s="46">
        <f>(((E156+I156)/E156)^(365/I158))-1</f>
        <v>0.4878538023417298</v>
      </c>
      <c r="J159" s="46"/>
    </row>
    <row r="160" s="114" customFormat="1" ht="15"/>
    <row r="161" s="114" customFormat="1" ht="15"/>
    <row r="162" spans="1:22" s="114" customFormat="1" ht="15">
      <c r="A162" s="12" t="s">
        <v>169</v>
      </c>
      <c r="B162" s="65">
        <v>42076.538194444445</v>
      </c>
      <c r="C162" s="14">
        <v>56.64</v>
      </c>
      <c r="D162" s="15">
        <v>320</v>
      </c>
      <c r="E162" s="15">
        <f aca="true" t="shared" si="70" ref="E162:E166">C162*D162+11</f>
        <v>18135.8</v>
      </c>
      <c r="F162" s="13">
        <v>42220.29305555556</v>
      </c>
      <c r="G162" s="14">
        <v>71.25</v>
      </c>
      <c r="H162" s="15">
        <f aca="true" t="shared" si="71" ref="H162:H166">G162*D162</f>
        <v>22800</v>
      </c>
      <c r="I162" s="16">
        <f aca="true" t="shared" si="72" ref="I162:I166">H162-E162</f>
        <v>4664.200000000001</v>
      </c>
      <c r="J162" s="19">
        <f aca="true" t="shared" si="73" ref="J162:J166">I162/E162</f>
        <v>0.25718192745839724</v>
      </c>
      <c r="K162" s="95" t="s">
        <v>305</v>
      </c>
      <c r="L162" s="119">
        <v>60</v>
      </c>
      <c r="M162" s="41">
        <f aca="true" t="shared" si="74" ref="M162:M166">C162*0.93</f>
        <v>52.675200000000004</v>
      </c>
      <c r="N162" s="118">
        <v>71.25</v>
      </c>
      <c r="O162" s="121">
        <v>42132</v>
      </c>
      <c r="P162" s="116" t="s">
        <v>169</v>
      </c>
      <c r="Q162" s="117">
        <v>70.18</v>
      </c>
      <c r="R162" s="118">
        <f>Q162*0.855</f>
        <v>60.0039</v>
      </c>
      <c r="S162" s="117">
        <f>1.11*C162</f>
        <v>62.870400000000004</v>
      </c>
      <c r="T162" s="116"/>
      <c r="U162" s="117"/>
      <c r="V162" s="15"/>
    </row>
    <row r="163" spans="1:22" s="114" customFormat="1" ht="15">
      <c r="A163" s="12" t="s">
        <v>169</v>
      </c>
      <c r="B163" s="65">
        <v>42082.302777777775</v>
      </c>
      <c r="C163" s="14">
        <v>57.9</v>
      </c>
      <c r="D163" s="15">
        <v>190</v>
      </c>
      <c r="E163" s="15">
        <f t="shared" si="70"/>
        <v>11012</v>
      </c>
      <c r="F163" s="13">
        <v>42220.29305555556</v>
      </c>
      <c r="G163" s="14">
        <v>71.25</v>
      </c>
      <c r="H163" s="15">
        <f t="shared" si="71"/>
        <v>13537.5</v>
      </c>
      <c r="I163" s="16">
        <f t="shared" si="72"/>
        <v>2525.5</v>
      </c>
      <c r="J163" s="19">
        <f t="shared" si="73"/>
        <v>0.2293407192154014</v>
      </c>
      <c r="K163" s="95" t="s">
        <v>306</v>
      </c>
      <c r="L163" s="119">
        <v>60</v>
      </c>
      <c r="M163" s="41">
        <f t="shared" si="74"/>
        <v>53.847</v>
      </c>
      <c r="N163" s="118">
        <v>71.25</v>
      </c>
      <c r="O163" s="116"/>
      <c r="P163" s="116" t="s">
        <v>169</v>
      </c>
      <c r="Q163" s="117"/>
      <c r="R163" s="118"/>
      <c r="S163" s="117"/>
      <c r="T163" s="116"/>
      <c r="V163" s="15"/>
    </row>
    <row r="164" spans="1:23" s="114" customFormat="1" ht="15">
      <c r="A164" s="12" t="s">
        <v>169</v>
      </c>
      <c r="B164" s="65">
        <v>42103.433333333334</v>
      </c>
      <c r="C164" s="14">
        <v>59.27</v>
      </c>
      <c r="D164" s="15">
        <v>125</v>
      </c>
      <c r="E164" s="15">
        <f t="shared" si="70"/>
        <v>7419.75</v>
      </c>
      <c r="F164" s="13">
        <v>42220.29305555556</v>
      </c>
      <c r="G164" s="14">
        <v>71.25</v>
      </c>
      <c r="H164" s="15">
        <f t="shared" si="71"/>
        <v>8906.25</v>
      </c>
      <c r="I164" s="16">
        <f t="shared" si="72"/>
        <v>1486.5</v>
      </c>
      <c r="J164" s="19">
        <f t="shared" si="73"/>
        <v>0.20034367734761954</v>
      </c>
      <c r="K164" s="95" t="s">
        <v>307</v>
      </c>
      <c r="L164" s="119">
        <v>60</v>
      </c>
      <c r="M164" s="41">
        <f t="shared" si="74"/>
        <v>55.121100000000006</v>
      </c>
      <c r="N164" s="118">
        <v>71.25</v>
      </c>
      <c r="O164" s="116"/>
      <c r="P164" s="116" t="s">
        <v>169</v>
      </c>
      <c r="Q164" s="117"/>
      <c r="R164" s="118"/>
      <c r="S164" s="117"/>
      <c r="T164" s="116"/>
      <c r="V164" s="15"/>
      <c r="W164" s="29"/>
    </row>
    <row r="165" spans="1:23" s="114" customFormat="1" ht="15">
      <c r="A165" s="12" t="s">
        <v>169</v>
      </c>
      <c r="B165" s="65">
        <v>42173.30486111111</v>
      </c>
      <c r="C165" s="14">
        <v>62.25</v>
      </c>
      <c r="D165" s="15">
        <v>65</v>
      </c>
      <c r="E165" s="15">
        <f t="shared" si="70"/>
        <v>4057.25</v>
      </c>
      <c r="F165" s="13">
        <v>42220.29305555556</v>
      </c>
      <c r="G165" s="14">
        <v>71.25</v>
      </c>
      <c r="H165" s="15">
        <f t="shared" si="71"/>
        <v>4631.25</v>
      </c>
      <c r="I165" s="16">
        <f t="shared" si="72"/>
        <v>574</v>
      </c>
      <c r="J165" s="19">
        <f t="shared" si="73"/>
        <v>0.14147513710025264</v>
      </c>
      <c r="K165" s="95" t="s">
        <v>308</v>
      </c>
      <c r="L165" s="119">
        <v>60</v>
      </c>
      <c r="M165" s="41">
        <f t="shared" si="74"/>
        <v>57.892500000000005</v>
      </c>
      <c r="N165" s="118">
        <v>71.25</v>
      </c>
      <c r="O165" s="116"/>
      <c r="P165" s="116" t="s">
        <v>169</v>
      </c>
      <c r="Q165" s="117"/>
      <c r="R165" s="118"/>
      <c r="S165" s="117"/>
      <c r="T165" s="116"/>
      <c r="V165" s="15"/>
      <c r="W165" s="29"/>
    </row>
    <row r="166" spans="1:23" s="114" customFormat="1" ht="15">
      <c r="A166" s="12" t="s">
        <v>169</v>
      </c>
      <c r="B166" s="65">
        <v>42185.43472222222</v>
      </c>
      <c r="C166" s="14">
        <v>65.19</v>
      </c>
      <c r="D166" s="15">
        <v>140</v>
      </c>
      <c r="E166" s="15">
        <f t="shared" si="70"/>
        <v>9137.6</v>
      </c>
      <c r="F166" s="13">
        <v>42220.29305555556</v>
      </c>
      <c r="G166" s="14">
        <v>71.25</v>
      </c>
      <c r="H166" s="15">
        <f t="shared" si="71"/>
        <v>9975</v>
      </c>
      <c r="I166" s="16">
        <f t="shared" si="72"/>
        <v>837.3999999999996</v>
      </c>
      <c r="J166" s="19">
        <f t="shared" si="73"/>
        <v>0.0916433199089476</v>
      </c>
      <c r="K166" s="95" t="s">
        <v>278</v>
      </c>
      <c r="L166" s="119"/>
      <c r="M166" s="20">
        <f t="shared" si="74"/>
        <v>60.6267</v>
      </c>
      <c r="N166" s="118">
        <v>71.25</v>
      </c>
      <c r="O166" s="116"/>
      <c r="P166" s="116" t="s">
        <v>169</v>
      </c>
      <c r="Q166" s="117"/>
      <c r="R166" s="118"/>
      <c r="S166" s="117"/>
      <c r="T166" s="116"/>
      <c r="V166" s="15"/>
      <c r="W166" s="29"/>
    </row>
    <row r="167" s="114" customFormat="1" ht="15"/>
    <row r="168" spans="1:11" s="114" customFormat="1" ht="15">
      <c r="A168" s="2" t="s">
        <v>32</v>
      </c>
      <c r="B168" s="2"/>
      <c r="C168" s="2"/>
      <c r="D168" s="6">
        <f>SUM(D162:D167)</f>
        <v>840</v>
      </c>
      <c r="E168" s="6">
        <f>SUM(E162:E167)</f>
        <v>49762.4</v>
      </c>
      <c r="F168" s="2"/>
      <c r="G168" s="2"/>
      <c r="H168" s="6">
        <f>SUM(H162:H167)</f>
        <v>59850</v>
      </c>
      <c r="I168" s="45">
        <f>SUM(I162:I167)</f>
        <v>10087.6</v>
      </c>
      <c r="J168" s="46">
        <f>I168/E168</f>
        <v>0.20271530312042826</v>
      </c>
      <c r="K168" s="47" t="s">
        <v>309</v>
      </c>
    </row>
    <row r="169" spans="1:11" s="114" customFormat="1" ht="15">
      <c r="A169" s="2"/>
      <c r="B169" s="2"/>
      <c r="C169" s="2"/>
      <c r="D169" s="2"/>
      <c r="E169" s="48"/>
      <c r="F169" s="2"/>
      <c r="G169" s="2"/>
      <c r="H169" s="29"/>
      <c r="I169" s="45">
        <f>H168-E168</f>
        <v>10087.599999999999</v>
      </c>
      <c r="J169" s="46"/>
      <c r="K169" s="47" t="s">
        <v>310</v>
      </c>
    </row>
    <row r="170" spans="1:11" s="114" customFormat="1" ht="15">
      <c r="A170" s="386" t="s">
        <v>33</v>
      </c>
      <c r="B170" s="386"/>
      <c r="C170" s="386"/>
      <c r="D170" s="2"/>
      <c r="E170" s="48"/>
      <c r="F170" s="2"/>
      <c r="G170" s="49"/>
      <c r="H170" s="50"/>
      <c r="I170" s="51">
        <f>F166-B162</f>
        <v>143.7548611111124</v>
      </c>
      <c r="J170" s="52"/>
      <c r="K170" s="47"/>
    </row>
    <row r="171" spans="1:10" s="114" customFormat="1" ht="15">
      <c r="A171" s="387" t="s">
        <v>202</v>
      </c>
      <c r="B171" s="387"/>
      <c r="C171" s="387"/>
      <c r="D171" s="2"/>
      <c r="E171" s="48"/>
      <c r="F171" s="2"/>
      <c r="G171" s="48"/>
      <c r="H171" s="50"/>
      <c r="I171" s="46">
        <f>(((E168+I168)/E168)^(365/I170))-1</f>
        <v>0.5978537122333984</v>
      </c>
      <c r="J171" s="46"/>
    </row>
    <row r="172" s="114" customFormat="1" ht="15"/>
    <row r="173" spans="1:23" s="114" customFormat="1" ht="15">
      <c r="A173" s="12" t="s">
        <v>66</v>
      </c>
      <c r="B173" s="65">
        <v>42156.31875</v>
      </c>
      <c r="C173" s="14">
        <v>41</v>
      </c>
      <c r="D173" s="15">
        <v>1900</v>
      </c>
      <c r="E173" s="15">
        <f aca="true" t="shared" si="75" ref="E173:E178">C173*D173+11</f>
        <v>77911</v>
      </c>
      <c r="F173" s="65">
        <v>42220.493055555555</v>
      </c>
      <c r="G173" s="14">
        <v>52.97</v>
      </c>
      <c r="H173" s="15">
        <f aca="true" t="shared" si="76" ref="H173:H178">G173*D173</f>
        <v>100643</v>
      </c>
      <c r="I173" s="16">
        <f aca="true" t="shared" si="77" ref="I173:I178">H173-E173</f>
        <v>22732</v>
      </c>
      <c r="J173" s="19">
        <f aca="true" t="shared" si="78" ref="J173:J178">I173/E173</f>
        <v>0.29176881313293374</v>
      </c>
      <c r="K173" s="95" t="s">
        <v>329</v>
      </c>
      <c r="L173" s="119">
        <v>44.25</v>
      </c>
      <c r="M173" s="41">
        <f aca="true" t="shared" si="79" ref="M173:M178">C173*0.93</f>
        <v>38.13</v>
      </c>
      <c r="N173" s="118">
        <v>52.13</v>
      </c>
      <c r="O173" s="121">
        <v>42215</v>
      </c>
      <c r="P173" s="116" t="s">
        <v>66</v>
      </c>
      <c r="Q173" s="117">
        <v>51.75</v>
      </c>
      <c r="R173" s="118">
        <f>Q173*0.855</f>
        <v>44.246249999999996</v>
      </c>
      <c r="S173" s="117">
        <f>1.11*C173</f>
        <v>45.510000000000005</v>
      </c>
      <c r="T173" s="116"/>
      <c r="V173" s="15"/>
      <c r="W173" s="29"/>
    </row>
    <row r="174" spans="1:23" s="114" customFormat="1" ht="15">
      <c r="A174" s="12" t="s">
        <v>66</v>
      </c>
      <c r="B174" s="65">
        <v>42158.308333333334</v>
      </c>
      <c r="C174" s="14">
        <v>42.1</v>
      </c>
      <c r="D174" s="15">
        <v>1100</v>
      </c>
      <c r="E174" s="15">
        <f t="shared" si="75"/>
        <v>46321</v>
      </c>
      <c r="F174" s="65">
        <v>42220.493055555555</v>
      </c>
      <c r="G174" s="14">
        <v>52.97</v>
      </c>
      <c r="H174" s="15">
        <f t="shared" si="76"/>
        <v>58267</v>
      </c>
      <c r="I174" s="16">
        <f t="shared" si="77"/>
        <v>11946</v>
      </c>
      <c r="J174" s="19">
        <f t="shared" si="78"/>
        <v>0.2578959867014961</v>
      </c>
      <c r="K174" s="95" t="s">
        <v>330</v>
      </c>
      <c r="L174" s="119">
        <v>42.84</v>
      </c>
      <c r="M174" s="41">
        <f t="shared" si="79"/>
        <v>39.153000000000006</v>
      </c>
      <c r="N174" s="118">
        <v>52.13</v>
      </c>
      <c r="O174" s="116"/>
      <c r="P174" s="116" t="s">
        <v>66</v>
      </c>
      <c r="Q174" s="117"/>
      <c r="R174" s="118"/>
      <c r="S174" s="117"/>
      <c r="T174" s="116"/>
      <c r="V174" s="15"/>
      <c r="W174" s="29"/>
    </row>
    <row r="175" spans="1:23" s="114" customFormat="1" ht="15">
      <c r="A175" s="12" t="s">
        <v>66</v>
      </c>
      <c r="B175" s="65">
        <v>41798.27222222222</v>
      </c>
      <c r="C175" s="14">
        <v>43.43</v>
      </c>
      <c r="D175" s="15">
        <v>700</v>
      </c>
      <c r="E175" s="15">
        <f t="shared" si="75"/>
        <v>30412</v>
      </c>
      <c r="F175" s="65">
        <v>42220.493055555555</v>
      </c>
      <c r="G175" s="14">
        <v>52.97</v>
      </c>
      <c r="H175" s="15">
        <f t="shared" si="76"/>
        <v>37079</v>
      </c>
      <c r="I175" s="16">
        <f t="shared" si="77"/>
        <v>6667</v>
      </c>
      <c r="J175" s="19">
        <f t="shared" si="78"/>
        <v>0.21922267525976588</v>
      </c>
      <c r="K175" s="95" t="s">
        <v>331</v>
      </c>
      <c r="L175" s="119">
        <v>42.84</v>
      </c>
      <c r="M175" s="41">
        <f t="shared" si="79"/>
        <v>40.389900000000004</v>
      </c>
      <c r="N175" s="118">
        <v>52.13</v>
      </c>
      <c r="O175" s="116"/>
      <c r="P175" s="116" t="s">
        <v>66</v>
      </c>
      <c r="Q175" s="117"/>
      <c r="R175" s="118"/>
      <c r="S175" s="117"/>
      <c r="T175" s="116"/>
      <c r="V175" s="15"/>
      <c r="W175" s="29"/>
    </row>
    <row r="176" spans="1:23" s="114" customFormat="1" ht="15">
      <c r="A176" s="12" t="s">
        <v>66</v>
      </c>
      <c r="B176" s="65">
        <v>42195.27569444444</v>
      </c>
      <c r="C176" s="14">
        <v>44.78</v>
      </c>
      <c r="D176" s="15">
        <v>370</v>
      </c>
      <c r="E176" s="15">
        <f t="shared" si="75"/>
        <v>16579.600000000002</v>
      </c>
      <c r="F176" s="65">
        <v>42220.493055555555</v>
      </c>
      <c r="G176" s="14">
        <v>52.97</v>
      </c>
      <c r="H176" s="15">
        <f t="shared" si="76"/>
        <v>19598.899999999998</v>
      </c>
      <c r="I176" s="16">
        <f t="shared" si="77"/>
        <v>3019.2999999999956</v>
      </c>
      <c r="J176" s="19">
        <f t="shared" si="78"/>
        <v>0.18210933918791739</v>
      </c>
      <c r="K176" s="95" t="s">
        <v>286</v>
      </c>
      <c r="L176" s="119">
        <v>42.84</v>
      </c>
      <c r="M176" s="41">
        <f t="shared" si="79"/>
        <v>41.6454</v>
      </c>
      <c r="N176" s="118">
        <v>52.13</v>
      </c>
      <c r="O176" s="116"/>
      <c r="P176" s="116" t="s">
        <v>66</v>
      </c>
      <c r="Q176" s="117"/>
      <c r="R176" s="118"/>
      <c r="S176" s="117"/>
      <c r="T176" s="116"/>
      <c r="V176" s="15"/>
      <c r="W176" s="29"/>
    </row>
    <row r="177" spans="1:23" s="114" customFormat="1" ht="15">
      <c r="A177" s="12" t="s">
        <v>66</v>
      </c>
      <c r="B177" s="65">
        <v>42198.27222222222</v>
      </c>
      <c r="C177" s="14">
        <v>46.9</v>
      </c>
      <c r="D177" s="15">
        <v>370</v>
      </c>
      <c r="E177" s="15">
        <f t="shared" si="75"/>
        <v>17364</v>
      </c>
      <c r="F177" s="65">
        <v>42220.493055555555</v>
      </c>
      <c r="G177" s="14">
        <v>52.97</v>
      </c>
      <c r="H177" s="15">
        <f t="shared" si="76"/>
        <v>19598.899999999998</v>
      </c>
      <c r="I177" s="16">
        <f t="shared" si="77"/>
        <v>2234.899999999998</v>
      </c>
      <c r="J177" s="19">
        <f t="shared" si="78"/>
        <v>0.12870882285187732</v>
      </c>
      <c r="K177" s="95" t="s">
        <v>332</v>
      </c>
      <c r="L177" s="119"/>
      <c r="M177" s="20">
        <f t="shared" si="79"/>
        <v>43.617000000000004</v>
      </c>
      <c r="N177" s="118">
        <v>52.13</v>
      </c>
      <c r="O177" s="116"/>
      <c r="P177" s="116" t="s">
        <v>66</v>
      </c>
      <c r="Q177" s="117"/>
      <c r="R177" s="118"/>
      <c r="S177" s="117"/>
      <c r="T177" s="116"/>
      <c r="V177" s="15"/>
      <c r="W177" s="29"/>
    </row>
    <row r="178" spans="1:23" s="114" customFormat="1" ht="15">
      <c r="A178" s="12" t="s">
        <v>66</v>
      </c>
      <c r="B178" s="65">
        <v>42215.35833333333</v>
      </c>
      <c r="C178" s="14">
        <v>48.42</v>
      </c>
      <c r="D178" s="15">
        <v>450</v>
      </c>
      <c r="E178" s="15">
        <f t="shared" si="75"/>
        <v>21800</v>
      </c>
      <c r="F178" s="65">
        <v>42220.493055555555</v>
      </c>
      <c r="G178" s="14">
        <v>52.97</v>
      </c>
      <c r="H178" s="15">
        <f t="shared" si="76"/>
        <v>23836.5</v>
      </c>
      <c r="I178" s="16">
        <f t="shared" si="77"/>
        <v>2036.5</v>
      </c>
      <c r="J178" s="19">
        <f t="shared" si="78"/>
        <v>0.09341743119266055</v>
      </c>
      <c r="K178" s="95" t="s">
        <v>301</v>
      </c>
      <c r="L178" s="119"/>
      <c r="M178" s="20">
        <f t="shared" si="79"/>
        <v>45.03060000000001</v>
      </c>
      <c r="N178" s="118">
        <v>53.13</v>
      </c>
      <c r="O178" s="116"/>
      <c r="P178" s="116" t="s">
        <v>66</v>
      </c>
      <c r="Q178" s="117"/>
      <c r="R178" s="118"/>
      <c r="S178" s="117"/>
      <c r="T178" s="116"/>
      <c r="V178" s="15"/>
      <c r="W178" s="29"/>
    </row>
    <row r="179" s="114" customFormat="1" ht="15"/>
    <row r="180" spans="1:11" s="114" customFormat="1" ht="15">
      <c r="A180" s="2" t="s">
        <v>32</v>
      </c>
      <c r="B180" s="2"/>
      <c r="C180" s="2"/>
      <c r="D180" s="6">
        <f>SUM(D173:D179)</f>
        <v>4890</v>
      </c>
      <c r="E180" s="6">
        <f>SUM(E173:E179)</f>
        <v>210387.6</v>
      </c>
      <c r="F180" s="2"/>
      <c r="G180" s="2"/>
      <c r="H180" s="6">
        <f>SUM(H173:H179)</f>
        <v>259023.3</v>
      </c>
      <c r="I180" s="45">
        <f>SUM(I173:I179)</f>
        <v>48635.7</v>
      </c>
      <c r="J180" s="46">
        <f>I180/E180</f>
        <v>0.2311718941610627</v>
      </c>
      <c r="K180" s="47" t="s">
        <v>333</v>
      </c>
    </row>
    <row r="181" spans="1:11" s="114" customFormat="1" ht="15">
      <c r="A181" s="2"/>
      <c r="B181" s="2"/>
      <c r="C181" s="2"/>
      <c r="D181" s="2"/>
      <c r="E181" s="48"/>
      <c r="F181" s="2"/>
      <c r="G181" s="2"/>
      <c r="H181" s="29"/>
      <c r="I181" s="45">
        <f>H180-E180</f>
        <v>48635.69999999998</v>
      </c>
      <c r="J181" s="46"/>
      <c r="K181" s="47"/>
    </row>
    <row r="182" spans="1:11" s="114" customFormat="1" ht="15">
      <c r="A182" s="386" t="s">
        <v>33</v>
      </c>
      <c r="B182" s="386"/>
      <c r="C182" s="386"/>
      <c r="D182" s="2"/>
      <c r="E182" s="48"/>
      <c r="F182" s="2"/>
      <c r="G182" s="49"/>
      <c r="H182" s="50"/>
      <c r="I182" s="51">
        <f>F178-B173</f>
        <v>64.1743055555562</v>
      </c>
      <c r="J182" s="52"/>
      <c r="K182" s="47"/>
    </row>
    <row r="183" spans="1:10" s="114" customFormat="1" ht="15">
      <c r="A183" s="387" t="s">
        <v>202</v>
      </c>
      <c r="B183" s="387"/>
      <c r="C183" s="387"/>
      <c r="D183" s="2"/>
      <c r="E183" s="48"/>
      <c r="F183" s="2"/>
      <c r="G183" s="48"/>
      <c r="H183" s="50"/>
      <c r="I183" s="46">
        <f>(((E180+I180)/E180)^(365/I182))-1</f>
        <v>2.263621009687747</v>
      </c>
      <c r="J183" s="46"/>
    </row>
    <row r="184" s="114" customFormat="1" ht="15"/>
    <row r="185" s="114" customFormat="1" ht="15"/>
    <row r="186" spans="1:22" s="114" customFormat="1" ht="15">
      <c r="A186" s="12" t="s">
        <v>80</v>
      </c>
      <c r="B186" s="65">
        <v>42011.30486111111</v>
      </c>
      <c r="C186" s="14">
        <v>58.02</v>
      </c>
      <c r="D186" s="15">
        <v>250</v>
      </c>
      <c r="E186" s="15">
        <f aca="true" t="shared" si="80" ref="E186:E195">C186*D186+11</f>
        <v>14516</v>
      </c>
      <c r="F186" s="13">
        <v>42234.529861111114</v>
      </c>
      <c r="G186" s="14">
        <v>154.26</v>
      </c>
      <c r="H186" s="15">
        <f aca="true" t="shared" si="81" ref="H186:H195">G186*D186</f>
        <v>38565</v>
      </c>
      <c r="I186" s="16">
        <f aca="true" t="shared" si="82" ref="I186:I195">H186-E186</f>
        <v>24049</v>
      </c>
      <c r="J186" s="19">
        <f aca="true" t="shared" si="83" ref="J186:J195">I186/E186</f>
        <v>1.656723615321025</v>
      </c>
      <c r="K186" s="72" t="s">
        <v>318</v>
      </c>
      <c r="L186" s="140" t="s">
        <v>51</v>
      </c>
      <c r="M186" s="41">
        <f aca="true" t="shared" si="84" ref="M186:M195">C186*0.93</f>
        <v>53.958600000000004</v>
      </c>
      <c r="N186" s="118">
        <v>77.93</v>
      </c>
      <c r="O186" s="121">
        <v>42090</v>
      </c>
      <c r="P186" s="116" t="s">
        <v>80</v>
      </c>
      <c r="Q186" s="117">
        <v>163.6</v>
      </c>
      <c r="R186" s="118">
        <f>Q186*0.855</f>
        <v>139.878</v>
      </c>
      <c r="S186" s="117">
        <f>1.11*C186</f>
        <v>64.40220000000001</v>
      </c>
      <c r="T186" s="116"/>
      <c r="U186" s="117"/>
      <c r="V186" s="15"/>
    </row>
    <row r="187" spans="1:22" s="114" customFormat="1" ht="15">
      <c r="A187" s="12" t="s">
        <v>80</v>
      </c>
      <c r="B187" s="65">
        <v>42011.40694444445</v>
      </c>
      <c r="C187" s="14">
        <v>59.16</v>
      </c>
      <c r="D187" s="15">
        <v>150</v>
      </c>
      <c r="E187" s="15">
        <f t="shared" si="80"/>
        <v>8885</v>
      </c>
      <c r="F187" s="13">
        <v>42234.529861111114</v>
      </c>
      <c r="G187" s="14">
        <v>154.26</v>
      </c>
      <c r="H187" s="15">
        <f t="shared" si="81"/>
        <v>23139</v>
      </c>
      <c r="I187" s="16">
        <f t="shared" si="82"/>
        <v>14254</v>
      </c>
      <c r="J187" s="122">
        <f t="shared" si="83"/>
        <v>1.60427687113112</v>
      </c>
      <c r="K187" s="95" t="s">
        <v>319</v>
      </c>
      <c r="L187" s="140" t="s">
        <v>51</v>
      </c>
      <c r="M187" s="41">
        <f t="shared" si="84"/>
        <v>55.0188</v>
      </c>
      <c r="N187" s="118">
        <v>77.93</v>
      </c>
      <c r="O187" s="116"/>
      <c r="P187" s="116" t="s">
        <v>80</v>
      </c>
      <c r="Q187" s="117"/>
      <c r="R187" s="118"/>
      <c r="S187" s="117"/>
      <c r="T187" s="116"/>
      <c r="V187" s="15"/>
    </row>
    <row r="188" spans="1:22" s="114" customFormat="1" ht="15">
      <c r="A188" s="12" t="s">
        <v>80</v>
      </c>
      <c r="B188" s="65">
        <v>42012.29305555556</v>
      </c>
      <c r="C188" s="14">
        <v>60.3</v>
      </c>
      <c r="D188" s="15">
        <v>100</v>
      </c>
      <c r="E188" s="15">
        <f t="shared" si="80"/>
        <v>6041</v>
      </c>
      <c r="F188" s="13">
        <v>42234.529861111114</v>
      </c>
      <c r="G188" s="14">
        <v>154.26</v>
      </c>
      <c r="H188" s="15">
        <f t="shared" si="81"/>
        <v>15426</v>
      </c>
      <c r="I188" s="16">
        <f t="shared" si="82"/>
        <v>9385</v>
      </c>
      <c r="J188" s="19">
        <f t="shared" si="83"/>
        <v>1.5535507366330077</v>
      </c>
      <c r="K188" s="95" t="s">
        <v>320</v>
      </c>
      <c r="L188" s="140" t="s">
        <v>51</v>
      </c>
      <c r="M188" s="41">
        <f t="shared" si="84"/>
        <v>56.079</v>
      </c>
      <c r="N188" s="118">
        <v>77.93</v>
      </c>
      <c r="O188" s="116"/>
      <c r="P188" s="116" t="s">
        <v>80</v>
      </c>
      <c r="Q188" s="117"/>
      <c r="R188" s="118"/>
      <c r="S188" s="117"/>
      <c r="T188" s="116"/>
      <c r="V188" s="15"/>
    </row>
    <row r="189" spans="1:22" s="114" customFormat="1" ht="15">
      <c r="A189" s="12" t="s">
        <v>80</v>
      </c>
      <c r="B189" s="65">
        <v>42047.271527777775</v>
      </c>
      <c r="C189" s="14">
        <v>64.65</v>
      </c>
      <c r="D189" s="15">
        <v>100</v>
      </c>
      <c r="E189" s="15">
        <f t="shared" si="80"/>
        <v>6476.000000000001</v>
      </c>
      <c r="F189" s="13">
        <v>42234.529861111114</v>
      </c>
      <c r="G189" s="14">
        <v>154.26</v>
      </c>
      <c r="H189" s="15">
        <f t="shared" si="81"/>
        <v>15426</v>
      </c>
      <c r="I189" s="16">
        <f t="shared" si="82"/>
        <v>8950</v>
      </c>
      <c r="J189" s="19">
        <f t="shared" si="83"/>
        <v>1.3820259419394687</v>
      </c>
      <c r="K189" s="95" t="s">
        <v>321</v>
      </c>
      <c r="L189" s="140" t="s">
        <v>51</v>
      </c>
      <c r="M189" s="41">
        <f t="shared" si="84"/>
        <v>60.12450000000001</v>
      </c>
      <c r="N189" s="118">
        <v>77.93</v>
      </c>
      <c r="O189" s="116"/>
      <c r="P189" s="116" t="s">
        <v>80</v>
      </c>
      <c r="Q189" s="117"/>
      <c r="R189" s="118"/>
      <c r="S189" s="117"/>
      <c r="T189" s="116"/>
      <c r="V189" s="15"/>
    </row>
    <row r="190" spans="1:22" s="114" customFormat="1" ht="15">
      <c r="A190" s="12" t="s">
        <v>80</v>
      </c>
      <c r="B190" s="65">
        <v>42081.34097222222</v>
      </c>
      <c r="C190" s="14">
        <v>70</v>
      </c>
      <c r="D190" s="15">
        <v>120</v>
      </c>
      <c r="E190" s="15">
        <f t="shared" si="80"/>
        <v>8411</v>
      </c>
      <c r="F190" s="13">
        <v>42234.529861111114</v>
      </c>
      <c r="G190" s="14">
        <v>154.26</v>
      </c>
      <c r="H190" s="15">
        <f t="shared" si="81"/>
        <v>18511.199999999997</v>
      </c>
      <c r="I190" s="16">
        <f t="shared" si="82"/>
        <v>10100.199999999997</v>
      </c>
      <c r="J190" s="19">
        <f t="shared" si="83"/>
        <v>1.2008322434906666</v>
      </c>
      <c r="K190" s="95" t="s">
        <v>322</v>
      </c>
      <c r="L190" s="140" t="s">
        <v>51</v>
      </c>
      <c r="M190" s="41">
        <f t="shared" si="84"/>
        <v>65.10000000000001</v>
      </c>
      <c r="N190" s="118">
        <v>77.93</v>
      </c>
      <c r="O190" s="116"/>
      <c r="P190" s="116" t="s">
        <v>80</v>
      </c>
      <c r="Q190" s="117"/>
      <c r="R190" s="118"/>
      <c r="S190" s="117"/>
      <c r="T190" s="116"/>
      <c r="V190" s="15"/>
    </row>
    <row r="191" spans="1:22" s="114" customFormat="1" ht="15">
      <c r="A191" s="12" t="s">
        <v>80</v>
      </c>
      <c r="B191" s="65">
        <v>42117.55694444444</v>
      </c>
      <c r="C191" s="14">
        <v>77.75</v>
      </c>
      <c r="D191" s="15">
        <v>150</v>
      </c>
      <c r="E191" s="15">
        <f t="shared" si="80"/>
        <v>11673.5</v>
      </c>
      <c r="F191" s="13">
        <v>42234.529861111114</v>
      </c>
      <c r="G191" s="14">
        <v>154.26</v>
      </c>
      <c r="H191" s="15">
        <f t="shared" si="81"/>
        <v>23139</v>
      </c>
      <c r="I191" s="16">
        <f t="shared" si="82"/>
        <v>11465.5</v>
      </c>
      <c r="J191" s="19">
        <f t="shared" si="83"/>
        <v>0.9821818649076969</v>
      </c>
      <c r="K191" s="95" t="s">
        <v>323</v>
      </c>
      <c r="L191" s="140" t="s">
        <v>51</v>
      </c>
      <c r="M191" s="41">
        <f t="shared" si="84"/>
        <v>72.3075</v>
      </c>
      <c r="N191" s="118">
        <v>77.93</v>
      </c>
      <c r="O191" s="116"/>
      <c r="P191" s="116" t="s">
        <v>80</v>
      </c>
      <c r="Q191" s="117"/>
      <c r="R191" s="118"/>
      <c r="S191" s="117"/>
      <c r="T191" s="116"/>
      <c r="V191" s="15"/>
    </row>
    <row r="192" spans="1:23" s="114" customFormat="1" ht="15">
      <c r="A192" s="12" t="s">
        <v>80</v>
      </c>
      <c r="B192" s="65">
        <v>42128.525</v>
      </c>
      <c r="C192" s="14">
        <v>93.09</v>
      </c>
      <c r="D192" s="15">
        <v>180</v>
      </c>
      <c r="E192" s="15">
        <f t="shared" si="80"/>
        <v>16767.2</v>
      </c>
      <c r="F192" s="13">
        <v>42234.529861111114</v>
      </c>
      <c r="G192" s="14">
        <v>154.26</v>
      </c>
      <c r="H192" s="15">
        <f t="shared" si="81"/>
        <v>27766.8</v>
      </c>
      <c r="I192" s="16">
        <f t="shared" si="82"/>
        <v>10999.599999999999</v>
      </c>
      <c r="J192" s="19">
        <f t="shared" si="83"/>
        <v>0.6560188940312036</v>
      </c>
      <c r="K192" s="95" t="s">
        <v>324</v>
      </c>
      <c r="L192" s="140" t="s">
        <v>51</v>
      </c>
      <c r="M192" s="41">
        <f t="shared" si="84"/>
        <v>86.5737</v>
      </c>
      <c r="N192" s="118">
        <v>77.93</v>
      </c>
      <c r="O192" s="116"/>
      <c r="P192" s="116" t="s">
        <v>80</v>
      </c>
      <c r="Q192" s="117"/>
      <c r="R192" s="118"/>
      <c r="S192" s="117"/>
      <c r="T192" s="116"/>
      <c r="V192" s="15"/>
      <c r="W192" s="29"/>
    </row>
    <row r="193" spans="1:23" s="114" customFormat="1" ht="15">
      <c r="A193" s="12" t="s">
        <v>80</v>
      </c>
      <c r="B193" s="65">
        <v>42186.37847222222</v>
      </c>
      <c r="C193" s="14">
        <v>111.51</v>
      </c>
      <c r="D193" s="15">
        <v>210</v>
      </c>
      <c r="E193" s="15">
        <f t="shared" si="80"/>
        <v>23428.100000000002</v>
      </c>
      <c r="F193" s="13">
        <v>42234.529861111114</v>
      </c>
      <c r="G193" s="14">
        <v>154.26</v>
      </c>
      <c r="H193" s="15">
        <f t="shared" si="81"/>
        <v>32394.6</v>
      </c>
      <c r="I193" s="16">
        <f t="shared" si="82"/>
        <v>8966.499999999996</v>
      </c>
      <c r="J193" s="19">
        <f t="shared" si="83"/>
        <v>0.382724164571604</v>
      </c>
      <c r="K193" s="95" t="s">
        <v>326</v>
      </c>
      <c r="L193" s="140" t="s">
        <v>51</v>
      </c>
      <c r="M193" s="41">
        <f t="shared" si="84"/>
        <v>103.7043</v>
      </c>
      <c r="N193" s="118">
        <v>77.93</v>
      </c>
      <c r="O193" s="116"/>
      <c r="P193" s="116" t="s">
        <v>80</v>
      </c>
      <c r="Q193" s="117"/>
      <c r="R193" s="118"/>
      <c r="S193" s="117"/>
      <c r="T193" s="116"/>
      <c r="V193" s="15"/>
      <c r="W193" s="29"/>
    </row>
    <row r="194" spans="1:23" s="114" customFormat="1" ht="15">
      <c r="A194" s="12" t="s">
        <v>80</v>
      </c>
      <c r="B194" s="65">
        <v>42207.52222222222</v>
      </c>
      <c r="C194" s="14">
        <v>125.19</v>
      </c>
      <c r="D194" s="15">
        <v>250</v>
      </c>
      <c r="E194" s="15">
        <f t="shared" si="80"/>
        <v>31308.5</v>
      </c>
      <c r="F194" s="13">
        <v>42234.529861111114</v>
      </c>
      <c r="G194" s="14">
        <v>154.26</v>
      </c>
      <c r="H194" s="15">
        <f t="shared" si="81"/>
        <v>38565</v>
      </c>
      <c r="I194" s="16">
        <f t="shared" si="82"/>
        <v>7256.5</v>
      </c>
      <c r="J194" s="19">
        <f t="shared" si="83"/>
        <v>0.2317741188495137</v>
      </c>
      <c r="K194" s="95" t="s">
        <v>325</v>
      </c>
      <c r="L194" s="97">
        <v>139</v>
      </c>
      <c r="M194" s="41">
        <f t="shared" si="84"/>
        <v>116.42670000000001</v>
      </c>
      <c r="N194" s="118">
        <v>77.93</v>
      </c>
      <c r="O194" s="116"/>
      <c r="P194" s="116" t="s">
        <v>80</v>
      </c>
      <c r="Q194" s="117"/>
      <c r="R194" s="118"/>
      <c r="S194" s="117"/>
      <c r="T194" s="116"/>
      <c r="V194" s="15"/>
      <c r="W194" s="29"/>
    </row>
    <row r="195" spans="1:23" s="114" customFormat="1" ht="15">
      <c r="A195" s="12" t="s">
        <v>80</v>
      </c>
      <c r="B195" s="65">
        <v>42215.28888888889</v>
      </c>
      <c r="C195" s="14">
        <v>143.4</v>
      </c>
      <c r="D195" s="15">
        <v>300</v>
      </c>
      <c r="E195" s="15">
        <f t="shared" si="80"/>
        <v>43031</v>
      </c>
      <c r="F195" s="13">
        <v>42234.529861111114</v>
      </c>
      <c r="G195" s="14">
        <v>154.26</v>
      </c>
      <c r="H195" s="15">
        <f t="shared" si="81"/>
        <v>46278</v>
      </c>
      <c r="I195" s="16">
        <f t="shared" si="82"/>
        <v>3247</v>
      </c>
      <c r="J195" s="19">
        <f t="shared" si="83"/>
        <v>0.07545722850967906</v>
      </c>
      <c r="K195" s="95" t="s">
        <v>302</v>
      </c>
      <c r="L195" s="97">
        <v>139</v>
      </c>
      <c r="M195" s="41">
        <f t="shared" si="84"/>
        <v>133.36200000000002</v>
      </c>
      <c r="N195" s="118">
        <v>77.93</v>
      </c>
      <c r="O195" s="116"/>
      <c r="P195" s="116" t="s">
        <v>80</v>
      </c>
      <c r="Q195" s="117"/>
      <c r="R195" s="118"/>
      <c r="S195" s="117"/>
      <c r="T195" s="116"/>
      <c r="V195" s="15"/>
      <c r="W195" s="29"/>
    </row>
    <row r="196" s="114" customFormat="1" ht="15"/>
    <row r="197" spans="1:11" s="114" customFormat="1" ht="15">
      <c r="A197" s="2" t="s">
        <v>32</v>
      </c>
      <c r="B197" s="2"/>
      <c r="C197" s="2"/>
      <c r="D197" s="6">
        <f>SUM(D186:D196)</f>
        <v>1810</v>
      </c>
      <c r="E197" s="6">
        <f>SUM(E186:E196)</f>
        <v>170537.3</v>
      </c>
      <c r="F197" s="2"/>
      <c r="G197" s="2"/>
      <c r="H197" s="6">
        <f>SUM(H186:H196)</f>
        <v>279210.6</v>
      </c>
      <c r="I197" s="45">
        <f>SUM(I186:I196)</f>
        <v>108673.29999999999</v>
      </c>
      <c r="J197" s="46">
        <f>I197/E197</f>
        <v>0.6372406505790815</v>
      </c>
      <c r="K197" s="47" t="s">
        <v>327</v>
      </c>
    </row>
    <row r="198" spans="1:11" s="114" customFormat="1" ht="15">
      <c r="A198" s="2"/>
      <c r="B198" s="2"/>
      <c r="C198" s="2"/>
      <c r="D198" s="2"/>
      <c r="E198" s="48"/>
      <c r="F198" s="2"/>
      <c r="G198" s="2"/>
      <c r="H198" s="29"/>
      <c r="I198" s="45">
        <f>H197-E197</f>
        <v>108673.29999999999</v>
      </c>
      <c r="J198" s="46"/>
      <c r="K198" s="47"/>
    </row>
    <row r="199" spans="1:11" s="114" customFormat="1" ht="15">
      <c r="A199" s="386" t="s">
        <v>33</v>
      </c>
      <c r="B199" s="386"/>
      <c r="C199" s="386"/>
      <c r="D199" s="2"/>
      <c r="E199" s="48"/>
      <c r="F199" s="2"/>
      <c r="G199" s="49"/>
      <c r="H199" s="50"/>
      <c r="I199" s="51">
        <f>F195-B186</f>
        <v>223.22500000000582</v>
      </c>
      <c r="J199" s="52"/>
      <c r="K199" s="47"/>
    </row>
    <row r="200" spans="1:10" s="114" customFormat="1" ht="15">
      <c r="A200" s="387" t="s">
        <v>202</v>
      </c>
      <c r="B200" s="387"/>
      <c r="C200" s="387"/>
      <c r="D200" s="2"/>
      <c r="E200" s="48"/>
      <c r="F200" s="2"/>
      <c r="G200" s="48"/>
      <c r="H200" s="50"/>
      <c r="I200" s="46">
        <f>(((E197+I197)/E197)^(365/I199))-1</f>
        <v>1.2392366123947967</v>
      </c>
      <c r="J200" s="46"/>
    </row>
    <row r="201" s="114" customFormat="1" ht="15"/>
    <row r="202" s="114" customFormat="1" ht="15"/>
    <row r="203" spans="1:23" s="114" customFormat="1" ht="15">
      <c r="A203" s="12" t="s">
        <v>59</v>
      </c>
      <c r="B203" s="65">
        <v>42164.36944444444</v>
      </c>
      <c r="C203" s="14">
        <v>47.25</v>
      </c>
      <c r="D203" s="15">
        <v>1600</v>
      </c>
      <c r="E203" s="15">
        <f aca="true" t="shared" si="85" ref="E203:E207">C203*D203+11</f>
        <v>75611</v>
      </c>
      <c r="F203" s="13">
        <v>42233.53125</v>
      </c>
      <c r="G203" s="14">
        <v>64.14</v>
      </c>
      <c r="H203" s="15">
        <f aca="true" t="shared" si="86" ref="H203:H207">G203*D203</f>
        <v>102624</v>
      </c>
      <c r="I203" s="16">
        <f aca="true" t="shared" si="87" ref="I203:I207">H203-E203</f>
        <v>27013</v>
      </c>
      <c r="J203" s="19">
        <f aca="true" t="shared" si="88" ref="J203:J207">I203/E203</f>
        <v>0.35726283212760046</v>
      </c>
      <c r="K203" s="95" t="s">
        <v>341</v>
      </c>
      <c r="L203" s="119">
        <v>54.01</v>
      </c>
      <c r="M203" s="41">
        <f aca="true" t="shared" si="89" ref="M203:M207">C203*0.93</f>
        <v>43.9425</v>
      </c>
      <c r="N203" s="118">
        <v>60.98</v>
      </c>
      <c r="O203" s="121">
        <v>42223</v>
      </c>
      <c r="P203" s="116" t="s">
        <v>59</v>
      </c>
      <c r="Q203" s="117">
        <v>63.17</v>
      </c>
      <c r="R203" s="118">
        <f>Q203*0.855</f>
        <v>54.01035</v>
      </c>
      <c r="S203" s="117">
        <f>1.11*C203</f>
        <v>52.447500000000005</v>
      </c>
      <c r="T203" s="116"/>
      <c r="V203" s="15"/>
      <c r="W203" s="29"/>
    </row>
    <row r="204" spans="1:23" s="114" customFormat="1" ht="15">
      <c r="A204" s="12" t="s">
        <v>59</v>
      </c>
      <c r="B204" s="65">
        <v>42164.478472222225</v>
      </c>
      <c r="C204" s="14">
        <v>48.3</v>
      </c>
      <c r="D204" s="15">
        <v>1000</v>
      </c>
      <c r="E204" s="15">
        <f t="shared" si="85"/>
        <v>48311</v>
      </c>
      <c r="F204" s="13">
        <v>42233.53125</v>
      </c>
      <c r="G204" s="14">
        <v>64.14</v>
      </c>
      <c r="H204" s="15">
        <f t="shared" si="86"/>
        <v>64140</v>
      </c>
      <c r="I204" s="16">
        <f t="shared" si="87"/>
        <v>15829</v>
      </c>
      <c r="J204" s="19">
        <f t="shared" si="88"/>
        <v>0.32764794767237276</v>
      </c>
      <c r="K204" s="95" t="s">
        <v>342</v>
      </c>
      <c r="L204" s="119">
        <v>54.01</v>
      </c>
      <c r="M204" s="41">
        <f t="shared" si="89"/>
        <v>44.919</v>
      </c>
      <c r="N204" s="118">
        <v>60.98</v>
      </c>
      <c r="O204" s="116"/>
      <c r="P204" s="116" t="s">
        <v>59</v>
      </c>
      <c r="Q204" s="117"/>
      <c r="R204" s="118"/>
      <c r="S204" s="117"/>
      <c r="T204" s="116"/>
      <c r="V204" s="15"/>
      <c r="W204" s="29"/>
    </row>
    <row r="205" spans="1:23" s="114" customFormat="1" ht="15">
      <c r="A205" s="12" t="s">
        <v>59</v>
      </c>
      <c r="B205" s="65">
        <v>42166.291666666664</v>
      </c>
      <c r="C205" s="14">
        <v>49.14</v>
      </c>
      <c r="D205" s="15">
        <v>600</v>
      </c>
      <c r="E205" s="15">
        <f t="shared" si="85"/>
        <v>29495</v>
      </c>
      <c r="F205" s="13">
        <v>42233.53125</v>
      </c>
      <c r="G205" s="14">
        <v>64.14</v>
      </c>
      <c r="H205" s="15">
        <f t="shared" si="86"/>
        <v>38484</v>
      </c>
      <c r="I205" s="16">
        <f t="shared" si="87"/>
        <v>8989</v>
      </c>
      <c r="J205" s="19">
        <f t="shared" si="88"/>
        <v>0.30476351924054923</v>
      </c>
      <c r="K205" s="95" t="s">
        <v>343</v>
      </c>
      <c r="L205" s="119">
        <v>54.01</v>
      </c>
      <c r="M205" s="41">
        <f t="shared" si="89"/>
        <v>45.7002</v>
      </c>
      <c r="N205" s="118">
        <v>60.98</v>
      </c>
      <c r="O205" s="116"/>
      <c r="P205" s="116" t="s">
        <v>59</v>
      </c>
      <c r="Q205" s="117"/>
      <c r="R205" s="118"/>
      <c r="S205" s="117"/>
      <c r="T205" s="116"/>
      <c r="V205" s="15"/>
      <c r="W205" s="29"/>
    </row>
    <row r="206" spans="1:23" s="114" customFormat="1" ht="15">
      <c r="A206" s="12" t="s">
        <v>59</v>
      </c>
      <c r="B206" s="65">
        <v>42191.27777777778</v>
      </c>
      <c r="C206" s="14">
        <v>55.44</v>
      </c>
      <c r="D206" s="15">
        <v>640</v>
      </c>
      <c r="E206" s="15">
        <f t="shared" si="85"/>
        <v>35492.6</v>
      </c>
      <c r="F206" s="13">
        <v>42233.53125</v>
      </c>
      <c r="G206" s="14">
        <v>64.14</v>
      </c>
      <c r="H206" s="15">
        <f t="shared" si="86"/>
        <v>41049.6</v>
      </c>
      <c r="I206" s="16">
        <f t="shared" si="87"/>
        <v>5557</v>
      </c>
      <c r="J206" s="19">
        <f t="shared" si="88"/>
        <v>0.15656784794576897</v>
      </c>
      <c r="K206" s="95" t="s">
        <v>344</v>
      </c>
      <c r="L206" s="119">
        <v>54.01</v>
      </c>
      <c r="M206" s="41">
        <f t="shared" si="89"/>
        <v>51.559200000000004</v>
      </c>
      <c r="N206" s="118">
        <v>60.98</v>
      </c>
      <c r="O206" s="116"/>
      <c r="P206" s="116" t="s">
        <v>59</v>
      </c>
      <c r="Q206" s="117"/>
      <c r="R206" s="118"/>
      <c r="S206" s="117"/>
      <c r="T206" s="116"/>
      <c r="V206" s="15"/>
      <c r="W206" s="29"/>
    </row>
    <row r="207" spans="1:23" s="114" customFormat="1" ht="15">
      <c r="A207" s="12" t="s">
        <v>59</v>
      </c>
      <c r="B207" s="65">
        <v>42222.49236111111</v>
      </c>
      <c r="C207" s="14">
        <v>58.18</v>
      </c>
      <c r="D207" s="15">
        <v>770</v>
      </c>
      <c r="E207" s="15">
        <f t="shared" si="85"/>
        <v>44809.6</v>
      </c>
      <c r="F207" s="13">
        <v>42233.53125</v>
      </c>
      <c r="G207" s="14">
        <v>64.14</v>
      </c>
      <c r="H207" s="15">
        <f t="shared" si="86"/>
        <v>49387.8</v>
      </c>
      <c r="I207" s="16">
        <f t="shared" si="87"/>
        <v>4578.200000000004</v>
      </c>
      <c r="J207" s="19">
        <f t="shared" si="88"/>
        <v>0.102170070699136</v>
      </c>
      <c r="K207" s="95" t="s">
        <v>345</v>
      </c>
      <c r="L207" s="119"/>
      <c r="M207" s="20">
        <f t="shared" si="89"/>
        <v>54.107400000000005</v>
      </c>
      <c r="N207" s="118">
        <v>60.98</v>
      </c>
      <c r="O207" s="116"/>
      <c r="P207" s="116" t="s">
        <v>59</v>
      </c>
      <c r="Q207" s="117"/>
      <c r="R207" s="118"/>
      <c r="S207" s="117"/>
      <c r="T207" s="116"/>
      <c r="V207" s="15"/>
      <c r="W207" s="29"/>
    </row>
    <row r="208" s="114" customFormat="1" ht="15"/>
    <row r="209" spans="1:11" s="114" customFormat="1" ht="15">
      <c r="A209" s="2" t="s">
        <v>32</v>
      </c>
      <c r="B209" s="2"/>
      <c r="C209" s="2"/>
      <c r="D209" s="6">
        <f>SUM(D203:D208)</f>
        <v>4610</v>
      </c>
      <c r="E209" s="6">
        <f>SUM(E203:E208)</f>
        <v>233719.2</v>
      </c>
      <c r="F209" s="2"/>
      <c r="G209" s="2"/>
      <c r="H209" s="6">
        <f>SUM(H203:H208)</f>
        <v>295685.4</v>
      </c>
      <c r="I209" s="45">
        <f>SUM(I203:I208)</f>
        <v>61966.200000000004</v>
      </c>
      <c r="J209" s="46">
        <f>I209/E209</f>
        <v>0.26513097768604377</v>
      </c>
      <c r="K209" s="47" t="s">
        <v>359</v>
      </c>
    </row>
    <row r="210" spans="1:11" s="114" customFormat="1" ht="15">
      <c r="A210" s="2"/>
      <c r="B210" s="2"/>
      <c r="C210" s="2"/>
      <c r="D210" s="2"/>
      <c r="E210" s="48"/>
      <c r="F210" s="2"/>
      <c r="G210" s="2"/>
      <c r="H210" s="29"/>
      <c r="I210" s="45">
        <f>H209-E209</f>
        <v>61966.20000000001</v>
      </c>
      <c r="J210" s="46"/>
      <c r="K210" s="47" t="s">
        <v>310</v>
      </c>
    </row>
    <row r="211" spans="1:11" s="114" customFormat="1" ht="15">
      <c r="A211" s="386" t="s">
        <v>33</v>
      </c>
      <c r="B211" s="386"/>
      <c r="C211" s="386"/>
      <c r="D211" s="2"/>
      <c r="E211" s="48"/>
      <c r="F211" s="2"/>
      <c r="G211" s="49"/>
      <c r="H211" s="50"/>
      <c r="I211" s="51">
        <f>F207-B203</f>
        <v>69.16180555555911</v>
      </c>
      <c r="J211" s="52"/>
      <c r="K211" s="47"/>
    </row>
    <row r="212" spans="1:10" s="114" customFormat="1" ht="15">
      <c r="A212" s="387" t="s">
        <v>202</v>
      </c>
      <c r="B212" s="387"/>
      <c r="C212" s="387"/>
      <c r="D212" s="2"/>
      <c r="E212" s="48"/>
      <c r="F212" s="2"/>
      <c r="G212" s="48"/>
      <c r="H212" s="50"/>
      <c r="I212" s="46">
        <f>(((E209+I209)/E209)^(365/I211))-1</f>
        <v>2.4595366662879123</v>
      </c>
      <c r="J212" s="46"/>
    </row>
    <row r="213" s="114" customFormat="1" ht="15"/>
    <row r="214" s="114" customFormat="1" ht="15"/>
    <row r="215" spans="1:23" s="114" customFormat="1" ht="15">
      <c r="A215" s="12" t="s">
        <v>48</v>
      </c>
      <c r="B215" s="65">
        <v>42174.53472222222</v>
      </c>
      <c r="C215" s="14">
        <v>82.6</v>
      </c>
      <c r="D215" s="15">
        <v>950</v>
      </c>
      <c r="E215" s="15">
        <f>C215*D215+11</f>
        <v>78481</v>
      </c>
      <c r="F215" s="13">
        <v>42237.33194444444</v>
      </c>
      <c r="G215" s="14">
        <v>87.59</v>
      </c>
      <c r="H215" s="15">
        <f aca="true" t="shared" si="90" ref="H215:H218">G215*D215</f>
        <v>83210.5</v>
      </c>
      <c r="I215" s="16">
        <f aca="true" t="shared" si="91" ref="I215:I218">H215-E215</f>
        <v>4729.5</v>
      </c>
      <c r="J215" s="19">
        <f aca="true" t="shared" si="92" ref="J215:J218">I215/E215</f>
        <v>0.06026299359080542</v>
      </c>
      <c r="K215" s="95" t="s">
        <v>346</v>
      </c>
      <c r="L215" s="119">
        <v>84.85</v>
      </c>
      <c r="M215" s="41">
        <f>C215*0.93</f>
        <v>76.818</v>
      </c>
      <c r="N215" s="117">
        <v>103.69</v>
      </c>
      <c r="O215" s="121">
        <v>42230</v>
      </c>
      <c r="P215" s="116" t="s">
        <v>48</v>
      </c>
      <c r="Q215" s="117">
        <v>99.24</v>
      </c>
      <c r="R215" s="118">
        <f>Q215*0.855</f>
        <v>84.8502</v>
      </c>
      <c r="S215" s="117">
        <f>1.11*C215</f>
        <v>91.686</v>
      </c>
      <c r="T215" s="116"/>
      <c r="V215" s="15"/>
      <c r="W215" s="29"/>
    </row>
    <row r="216" spans="1:23" s="114" customFormat="1" ht="15">
      <c r="A216" s="12" t="s">
        <v>48</v>
      </c>
      <c r="B216" s="65">
        <v>42177.37013888889</v>
      </c>
      <c r="C216" s="14">
        <v>84.55</v>
      </c>
      <c r="D216" s="15">
        <v>550</v>
      </c>
      <c r="E216" s="15">
        <f>C216*D216+11</f>
        <v>46513.5</v>
      </c>
      <c r="F216" s="13">
        <v>42237.33194444444</v>
      </c>
      <c r="G216" s="14">
        <v>87.59</v>
      </c>
      <c r="H216" s="15">
        <f t="shared" si="90"/>
        <v>48174.5</v>
      </c>
      <c r="I216" s="16">
        <f t="shared" si="91"/>
        <v>1661</v>
      </c>
      <c r="J216" s="19">
        <f t="shared" si="92"/>
        <v>0.03571006266997753</v>
      </c>
      <c r="K216" s="95" t="s">
        <v>347</v>
      </c>
      <c r="L216" s="119">
        <v>84.85</v>
      </c>
      <c r="M216" s="41">
        <f>C216*0.93</f>
        <v>78.6315</v>
      </c>
      <c r="N216" s="117">
        <v>103.69</v>
      </c>
      <c r="O216" s="116"/>
      <c r="P216" s="116" t="s">
        <v>48</v>
      </c>
      <c r="Q216" s="117"/>
      <c r="R216" s="118"/>
      <c r="S216" s="117"/>
      <c r="T216" s="116"/>
      <c r="V216" s="15"/>
      <c r="W216" s="29"/>
    </row>
    <row r="217" spans="1:23" s="114" customFormat="1" ht="15">
      <c r="A217" s="12" t="s">
        <v>48</v>
      </c>
      <c r="B217" s="65">
        <v>42178.302777777775</v>
      </c>
      <c r="C217" s="14">
        <v>86.26</v>
      </c>
      <c r="D217" s="15">
        <v>350</v>
      </c>
      <c r="E217" s="15">
        <f>C217*D217+11</f>
        <v>30202</v>
      </c>
      <c r="F217" s="13">
        <v>42237.33194444444</v>
      </c>
      <c r="G217" s="14">
        <v>87.59</v>
      </c>
      <c r="H217" s="15">
        <f t="shared" si="90"/>
        <v>30656.5</v>
      </c>
      <c r="I217" s="16">
        <f t="shared" si="91"/>
        <v>454.5</v>
      </c>
      <c r="J217" s="19">
        <f t="shared" si="92"/>
        <v>0.01504867227335938</v>
      </c>
      <c r="K217" s="95" t="s">
        <v>348</v>
      </c>
      <c r="L217" s="119">
        <v>84.85</v>
      </c>
      <c r="M217" s="41">
        <f>C217*0.93</f>
        <v>80.22180000000002</v>
      </c>
      <c r="N217" s="117">
        <v>103.69</v>
      </c>
      <c r="O217" s="116"/>
      <c r="P217" s="116" t="s">
        <v>48</v>
      </c>
      <c r="Q217" s="117"/>
      <c r="R217" s="118"/>
      <c r="S217" s="117"/>
      <c r="T217" s="116"/>
      <c r="V217" s="15"/>
      <c r="W217" s="29"/>
    </row>
    <row r="218" spans="1:20" s="114" customFormat="1" ht="15">
      <c r="A218" s="12" t="s">
        <v>48</v>
      </c>
      <c r="B218" s="13">
        <v>42202.27291666667</v>
      </c>
      <c r="C218" s="14">
        <v>93.22</v>
      </c>
      <c r="D218" s="15">
        <v>370</v>
      </c>
      <c r="E218" s="15">
        <f>C218*D218+11</f>
        <v>34502.4</v>
      </c>
      <c r="F218" s="13">
        <v>42237.33194444444</v>
      </c>
      <c r="G218" s="14">
        <v>87.59</v>
      </c>
      <c r="H218" s="15">
        <f t="shared" si="90"/>
        <v>32408.300000000003</v>
      </c>
      <c r="I218" s="16">
        <f t="shared" si="91"/>
        <v>-2094.0999999999985</v>
      </c>
      <c r="J218" s="19">
        <f t="shared" si="92"/>
        <v>-0.060694328510480386</v>
      </c>
      <c r="K218" s="95" t="s">
        <v>349</v>
      </c>
      <c r="L218" s="119"/>
      <c r="M218" s="20">
        <f>C218*0.93</f>
        <v>86.69460000000001</v>
      </c>
      <c r="N218" s="117">
        <v>103.69</v>
      </c>
      <c r="P218" s="116" t="s">
        <v>48</v>
      </c>
      <c r="Q218" s="117"/>
      <c r="R218" s="117"/>
      <c r="S218" s="117"/>
      <c r="T218" s="116"/>
    </row>
    <row r="219" s="114" customFormat="1" ht="15"/>
    <row r="220" spans="1:11" s="114" customFormat="1" ht="15">
      <c r="A220" s="2" t="s">
        <v>32</v>
      </c>
      <c r="B220" s="2"/>
      <c r="C220" s="2"/>
      <c r="D220" s="6">
        <f>SUM(D215:D219)</f>
        <v>2220</v>
      </c>
      <c r="E220" s="6">
        <f>SUM(E215:E219)</f>
        <v>189698.9</v>
      </c>
      <c r="F220" s="2"/>
      <c r="G220" s="2"/>
      <c r="H220" s="6">
        <f>SUM(H215:H219)</f>
        <v>194449.8</v>
      </c>
      <c r="I220" s="45">
        <f>SUM(I215:I219)</f>
        <v>4750.9000000000015</v>
      </c>
      <c r="J220" s="46">
        <f>I220/E220</f>
        <v>0.02504442566614778</v>
      </c>
      <c r="K220" s="47" t="s">
        <v>361</v>
      </c>
    </row>
    <row r="221" spans="1:11" s="114" customFormat="1" ht="15">
      <c r="A221" s="2"/>
      <c r="B221" s="2"/>
      <c r="C221" s="2"/>
      <c r="D221" s="2"/>
      <c r="E221" s="48"/>
      <c r="F221" s="2"/>
      <c r="G221" s="2"/>
      <c r="H221" s="29"/>
      <c r="I221" s="45">
        <f>H220-E220</f>
        <v>4750.899999999994</v>
      </c>
      <c r="J221" s="46"/>
      <c r="K221" s="47" t="s">
        <v>362</v>
      </c>
    </row>
    <row r="222" spans="1:11" s="114" customFormat="1" ht="15">
      <c r="A222" s="386" t="s">
        <v>33</v>
      </c>
      <c r="B222" s="386"/>
      <c r="C222" s="386"/>
      <c r="D222" s="2"/>
      <c r="E222" s="48"/>
      <c r="F222" s="2"/>
      <c r="G222" s="49"/>
      <c r="H222" s="50"/>
      <c r="I222" s="51">
        <f>F218-B215</f>
        <v>62.797222222223354</v>
      </c>
      <c r="J222" s="52"/>
      <c r="K222" s="47" t="s">
        <v>363</v>
      </c>
    </row>
    <row r="223" spans="1:10" s="114" customFormat="1" ht="15">
      <c r="A223" s="387" t="s">
        <v>202</v>
      </c>
      <c r="B223" s="387"/>
      <c r="C223" s="387"/>
      <c r="D223" s="2"/>
      <c r="E223" s="48"/>
      <c r="F223" s="2"/>
      <c r="G223" s="48"/>
      <c r="H223" s="50"/>
      <c r="I223" s="46">
        <f>(((E220+I220)/E220)^(365/I222))-1</f>
        <v>0.15462341545251213</v>
      </c>
      <c r="J223" s="46"/>
    </row>
    <row r="224" s="114" customFormat="1" ht="15"/>
    <row r="225" s="114" customFormat="1" ht="15"/>
    <row r="226" spans="1:22" s="114" customFormat="1" ht="15">
      <c r="A226" s="12" t="s">
        <v>208</v>
      </c>
      <c r="B226" s="65">
        <v>42090.308333333334</v>
      </c>
      <c r="C226" s="14">
        <v>214</v>
      </c>
      <c r="D226" s="15">
        <v>95</v>
      </c>
      <c r="E226" s="15">
        <f aca="true" t="shared" si="93" ref="E226:E228">C226*D226+11</f>
        <v>20341</v>
      </c>
      <c r="F226" s="13">
        <v>42237.495833333334</v>
      </c>
      <c r="G226" s="14">
        <v>240.24</v>
      </c>
      <c r="H226" s="15">
        <f aca="true" t="shared" si="94" ref="H226:H228">G226*D226</f>
        <v>22822.8</v>
      </c>
      <c r="I226" s="16">
        <f aca="true" t="shared" si="95" ref="I226:I228">H226-E226</f>
        <v>2481.7999999999993</v>
      </c>
      <c r="J226" s="19">
        <f aca="true" t="shared" si="96" ref="J226:J228">I226/E226</f>
        <v>0.12200973403470819</v>
      </c>
      <c r="K226" s="95" t="s">
        <v>338</v>
      </c>
      <c r="L226" s="119">
        <v>220.72</v>
      </c>
      <c r="M226" s="41">
        <f aca="true" t="shared" si="97" ref="M226:M228">C226*0.93</f>
        <v>199.02</v>
      </c>
      <c r="N226" s="118">
        <v>267.7</v>
      </c>
      <c r="O226" s="121">
        <v>42136</v>
      </c>
      <c r="P226" s="116" t="s">
        <v>208</v>
      </c>
      <c r="Q226" s="117">
        <v>258.15</v>
      </c>
      <c r="R226" s="118">
        <f>Q226*0.855</f>
        <v>220.71824999999998</v>
      </c>
      <c r="S226" s="117">
        <f>1.11*C226</f>
        <v>237.54000000000002</v>
      </c>
      <c r="T226" s="116"/>
      <c r="U226" s="117"/>
      <c r="V226" s="15"/>
    </row>
    <row r="227" spans="1:22" s="114" customFormat="1" ht="15">
      <c r="A227" s="12" t="s">
        <v>208</v>
      </c>
      <c r="B227" s="65">
        <v>42093.29305555556</v>
      </c>
      <c r="C227" s="14">
        <v>219.41</v>
      </c>
      <c r="D227" s="15">
        <v>55</v>
      </c>
      <c r="E227" s="15">
        <f t="shared" si="93"/>
        <v>12078.55</v>
      </c>
      <c r="F227" s="13">
        <v>42237.495833333334</v>
      </c>
      <c r="G227" s="14">
        <v>240.24</v>
      </c>
      <c r="H227" s="15">
        <f t="shared" si="94"/>
        <v>13213.2</v>
      </c>
      <c r="I227" s="16">
        <f t="shared" si="95"/>
        <v>1134.6500000000015</v>
      </c>
      <c r="J227" s="19">
        <f t="shared" si="96"/>
        <v>0.0939392559537363</v>
      </c>
      <c r="K227" s="95" t="s">
        <v>339</v>
      </c>
      <c r="L227" s="119">
        <v>220.72</v>
      </c>
      <c r="M227" s="41">
        <f t="shared" si="97"/>
        <v>204.0513</v>
      </c>
      <c r="N227" s="118">
        <v>267.7</v>
      </c>
      <c r="O227" s="116"/>
      <c r="P227" s="116" t="s">
        <v>208</v>
      </c>
      <c r="Q227" s="117"/>
      <c r="R227" s="118"/>
      <c r="S227" s="117"/>
      <c r="T227" s="116"/>
      <c r="V227" s="15"/>
    </row>
    <row r="228" spans="1:23" s="114" customFormat="1" ht="15">
      <c r="A228" s="12" t="s">
        <v>208</v>
      </c>
      <c r="B228" s="65">
        <v>42117.27569444444</v>
      </c>
      <c r="C228" s="14">
        <v>226.35</v>
      </c>
      <c r="D228" s="15">
        <v>35</v>
      </c>
      <c r="E228" s="15">
        <f t="shared" si="93"/>
        <v>7933.25</v>
      </c>
      <c r="F228" s="13">
        <v>42237.495833333334</v>
      </c>
      <c r="G228" s="14">
        <v>240.24</v>
      </c>
      <c r="H228" s="15">
        <f t="shared" si="94"/>
        <v>8408.4</v>
      </c>
      <c r="I228" s="16">
        <f t="shared" si="95"/>
        <v>475.14999999999964</v>
      </c>
      <c r="J228" s="19">
        <f t="shared" si="96"/>
        <v>0.0598934862761163</v>
      </c>
      <c r="K228" s="95" t="s">
        <v>340</v>
      </c>
      <c r="L228" s="119">
        <v>220.72</v>
      </c>
      <c r="M228" s="41">
        <f t="shared" si="97"/>
        <v>210.5055</v>
      </c>
      <c r="N228" s="118">
        <v>267.7</v>
      </c>
      <c r="O228" s="116"/>
      <c r="P228" s="116" t="s">
        <v>208</v>
      </c>
      <c r="Q228" s="117"/>
      <c r="R228" s="118"/>
      <c r="S228" s="117"/>
      <c r="T228" s="116"/>
      <c r="V228" s="15"/>
      <c r="W228" s="29"/>
    </row>
    <row r="229" s="114" customFormat="1" ht="15"/>
    <row r="230" spans="1:11" s="114" customFormat="1" ht="15">
      <c r="A230" s="2" t="s">
        <v>32</v>
      </c>
      <c r="B230" s="2"/>
      <c r="C230" s="2"/>
      <c r="D230" s="6">
        <f>SUM(D226:D229)</f>
        <v>185</v>
      </c>
      <c r="E230" s="6">
        <f>SUM(E226:E229)</f>
        <v>40352.8</v>
      </c>
      <c r="F230" s="2"/>
      <c r="G230" s="2"/>
      <c r="H230" s="6">
        <f>SUM(H226:H229)</f>
        <v>44444.4</v>
      </c>
      <c r="I230" s="45">
        <f>SUM(I226:I229)</f>
        <v>4091.6000000000004</v>
      </c>
      <c r="J230" s="46">
        <f>I230/E230</f>
        <v>0.10139569001407585</v>
      </c>
      <c r="K230" s="47" t="s">
        <v>364</v>
      </c>
    </row>
    <row r="231" spans="1:11" s="114" customFormat="1" ht="15">
      <c r="A231" s="2"/>
      <c r="B231" s="2"/>
      <c r="C231" s="2"/>
      <c r="D231" s="2"/>
      <c r="E231" s="48"/>
      <c r="F231" s="2"/>
      <c r="G231" s="2"/>
      <c r="H231" s="29"/>
      <c r="I231" s="45">
        <f>H230-E230</f>
        <v>4091.5999999999985</v>
      </c>
      <c r="J231" s="46"/>
      <c r="K231" s="47" t="s">
        <v>365</v>
      </c>
    </row>
    <row r="232" spans="1:11" s="114" customFormat="1" ht="15">
      <c r="A232" s="386" t="s">
        <v>33</v>
      </c>
      <c r="B232" s="386"/>
      <c r="C232" s="386"/>
      <c r="D232" s="2"/>
      <c r="E232" s="48"/>
      <c r="F232" s="2"/>
      <c r="G232" s="49"/>
      <c r="H232" s="50"/>
      <c r="I232" s="51">
        <f>F228-B226</f>
        <v>147.1875</v>
      </c>
      <c r="J232" s="52"/>
      <c r="K232" s="47" t="s">
        <v>366</v>
      </c>
    </row>
    <row r="233" spans="1:10" s="114" customFormat="1" ht="15">
      <c r="A233" s="387" t="s">
        <v>202</v>
      </c>
      <c r="B233" s="387"/>
      <c r="C233" s="387"/>
      <c r="D233" s="2"/>
      <c r="E233" s="48"/>
      <c r="F233" s="2"/>
      <c r="G233" s="48"/>
      <c r="H233" s="50"/>
      <c r="I233" s="46">
        <f>(((E230+I230)/E230)^(365/I232))-1</f>
        <v>0.2706105004644095</v>
      </c>
      <c r="J233" s="46"/>
    </row>
    <row r="234" s="114" customFormat="1" ht="15"/>
    <row r="235" s="114" customFormat="1" ht="15"/>
    <row r="236" spans="1:20" s="114" customFormat="1" ht="15">
      <c r="A236" s="12" t="s">
        <v>68</v>
      </c>
      <c r="B236" s="13">
        <v>42201.29722222222</v>
      </c>
      <c r="C236" s="14">
        <v>68.35</v>
      </c>
      <c r="D236" s="15">
        <v>600</v>
      </c>
      <c r="E236" s="15">
        <f aca="true" t="shared" si="98" ref="E236:E240">C236*D236+11</f>
        <v>41021</v>
      </c>
      <c r="F236" s="13">
        <v>42237.53472222222</v>
      </c>
      <c r="G236" s="14">
        <v>97.38</v>
      </c>
      <c r="H236" s="15">
        <f aca="true" t="shared" si="99" ref="H236:H240">G236*D236</f>
        <v>58428</v>
      </c>
      <c r="I236" s="16">
        <f aca="true" t="shared" si="100" ref="I236:I240">H236-E236</f>
        <v>17407</v>
      </c>
      <c r="J236" s="19">
        <f aca="true" t="shared" si="101" ref="J236:J240">I236/E236</f>
        <v>0.42434362887301624</v>
      </c>
      <c r="K236" s="95" t="s">
        <v>350</v>
      </c>
      <c r="L236" s="119">
        <v>94.63</v>
      </c>
      <c r="M236" s="41">
        <f aca="true" t="shared" si="102" ref="M236:M240">C236*0.93</f>
        <v>63.5655</v>
      </c>
      <c r="N236" s="117">
        <v>86.66</v>
      </c>
      <c r="O236" s="121">
        <v>42256</v>
      </c>
      <c r="P236" s="116" t="s">
        <v>68</v>
      </c>
      <c r="Q236" s="117">
        <v>110.68</v>
      </c>
      <c r="R236" s="118">
        <f>Q236*0.855</f>
        <v>94.6314</v>
      </c>
      <c r="S236" s="117">
        <f>1.11*C236</f>
        <v>75.8685</v>
      </c>
      <c r="T236" s="116"/>
    </row>
    <row r="237" spans="1:20" s="114" customFormat="1" ht="15">
      <c r="A237" s="12" t="s">
        <v>68</v>
      </c>
      <c r="B237" s="13">
        <v>42202.285416666666</v>
      </c>
      <c r="C237" s="14">
        <v>69.54</v>
      </c>
      <c r="D237" s="15">
        <v>350</v>
      </c>
      <c r="E237" s="15">
        <f t="shared" si="98"/>
        <v>24350.000000000004</v>
      </c>
      <c r="F237" s="13">
        <v>42237.53472222222</v>
      </c>
      <c r="G237" s="14">
        <v>97.38</v>
      </c>
      <c r="H237" s="15">
        <f t="shared" si="99"/>
        <v>34083</v>
      </c>
      <c r="I237" s="16">
        <f t="shared" si="100"/>
        <v>9732.999999999996</v>
      </c>
      <c r="J237" s="19">
        <f t="shared" si="101"/>
        <v>0.39971252566735094</v>
      </c>
      <c r="K237" s="95" t="s">
        <v>351</v>
      </c>
      <c r="L237" s="119">
        <v>94.63</v>
      </c>
      <c r="M237" s="41">
        <f t="shared" si="102"/>
        <v>64.6722</v>
      </c>
      <c r="N237" s="117">
        <v>86.66</v>
      </c>
      <c r="P237" s="116" t="s">
        <v>68</v>
      </c>
      <c r="Q237" s="117"/>
      <c r="R237" s="117"/>
      <c r="S237" s="117"/>
      <c r="T237" s="116"/>
    </row>
    <row r="238" spans="1:20" s="114" customFormat="1" ht="15">
      <c r="A238" s="12" t="s">
        <v>68</v>
      </c>
      <c r="B238" s="13">
        <v>42202.46527777778</v>
      </c>
      <c r="C238" s="14">
        <v>71.51</v>
      </c>
      <c r="D238" s="15">
        <v>230</v>
      </c>
      <c r="E238" s="15">
        <f t="shared" si="98"/>
        <v>16458.300000000003</v>
      </c>
      <c r="F238" s="13">
        <v>42237.53472222222</v>
      </c>
      <c r="G238" s="14">
        <v>97.38</v>
      </c>
      <c r="H238" s="15">
        <f t="shared" si="99"/>
        <v>22397.399999999998</v>
      </c>
      <c r="I238" s="16">
        <f t="shared" si="100"/>
        <v>5939.099999999995</v>
      </c>
      <c r="J238" s="19">
        <f t="shared" si="101"/>
        <v>0.36085743971126993</v>
      </c>
      <c r="K238" s="95" t="s">
        <v>352</v>
      </c>
      <c r="L238" s="119">
        <v>94.63</v>
      </c>
      <c r="M238" s="41">
        <f t="shared" si="102"/>
        <v>66.50430000000001</v>
      </c>
      <c r="N238" s="117">
        <v>86.66</v>
      </c>
      <c r="P238" s="116" t="s">
        <v>68</v>
      </c>
      <c r="Q238" s="117"/>
      <c r="R238" s="117"/>
      <c r="S238" s="117"/>
      <c r="T238" s="116"/>
    </row>
    <row r="239" spans="1:20" s="114" customFormat="1" ht="15">
      <c r="A239" s="12" t="s">
        <v>68</v>
      </c>
      <c r="B239" s="13">
        <v>42215.32430555556</v>
      </c>
      <c r="C239" s="14">
        <v>76.97</v>
      </c>
      <c r="D239" s="15">
        <v>240</v>
      </c>
      <c r="E239" s="15">
        <f t="shared" si="98"/>
        <v>18483.8</v>
      </c>
      <c r="F239" s="13">
        <v>42237.53472222222</v>
      </c>
      <c r="G239" s="14">
        <v>97.38</v>
      </c>
      <c r="H239" s="15">
        <f t="shared" si="99"/>
        <v>23371.199999999997</v>
      </c>
      <c r="I239" s="16">
        <f t="shared" si="100"/>
        <v>4887.399999999998</v>
      </c>
      <c r="J239" s="19">
        <f t="shared" si="101"/>
        <v>0.26441532585290894</v>
      </c>
      <c r="K239" s="95" t="s">
        <v>353</v>
      </c>
      <c r="L239" s="119">
        <v>94.63</v>
      </c>
      <c r="M239" s="41">
        <f t="shared" si="102"/>
        <v>71.5821</v>
      </c>
      <c r="P239" s="116" t="s">
        <v>68</v>
      </c>
      <c r="Q239" s="117"/>
      <c r="R239" s="117"/>
      <c r="S239" s="117"/>
      <c r="T239" s="116"/>
    </row>
    <row r="240" spans="1:20" s="114" customFormat="1" ht="15">
      <c r="A240" s="12" t="s">
        <v>313</v>
      </c>
      <c r="B240" s="13">
        <v>42220.27222222222</v>
      </c>
      <c r="C240" s="14">
        <v>86.35</v>
      </c>
      <c r="D240" s="15">
        <v>290</v>
      </c>
      <c r="E240" s="15">
        <f t="shared" si="98"/>
        <v>25052.5</v>
      </c>
      <c r="F240" s="13">
        <v>42237.53472222222</v>
      </c>
      <c r="G240" s="14">
        <v>97.38</v>
      </c>
      <c r="H240" s="15">
        <f t="shared" si="99"/>
        <v>28240.199999999997</v>
      </c>
      <c r="I240" s="16">
        <f t="shared" si="100"/>
        <v>3187.699999999997</v>
      </c>
      <c r="J240" s="19">
        <f t="shared" si="101"/>
        <v>0.12724079433190288</v>
      </c>
      <c r="K240" s="95" t="s">
        <v>354</v>
      </c>
      <c r="L240" s="119">
        <v>94.63</v>
      </c>
      <c r="M240" s="41">
        <f t="shared" si="102"/>
        <v>80.3055</v>
      </c>
      <c r="N240" s="117">
        <v>86.66</v>
      </c>
      <c r="P240" s="116" t="s">
        <v>68</v>
      </c>
      <c r="Q240" s="117"/>
      <c r="R240" s="117"/>
      <c r="S240" s="117"/>
      <c r="T240" s="116"/>
    </row>
    <row r="241" s="114" customFormat="1" ht="15"/>
    <row r="242" spans="1:11" s="114" customFormat="1" ht="15">
      <c r="A242" s="2" t="s">
        <v>32</v>
      </c>
      <c r="B242" s="2"/>
      <c r="C242" s="2"/>
      <c r="D242" s="6">
        <f>SUM(D236:D241)</f>
        <v>1710</v>
      </c>
      <c r="E242" s="6">
        <f>SUM(E236:E241)</f>
        <v>125365.6</v>
      </c>
      <c r="F242" s="2"/>
      <c r="G242" s="2"/>
      <c r="H242" s="6">
        <f>SUM(H236:H241)</f>
        <v>166519.8</v>
      </c>
      <c r="I242" s="45">
        <f>SUM(I236:I241)</f>
        <v>41154.19999999998</v>
      </c>
      <c r="J242" s="46">
        <f>I242/E242</f>
        <v>0.3282734657673236</v>
      </c>
      <c r="K242" s="47" t="s">
        <v>367</v>
      </c>
    </row>
    <row r="243" spans="1:11" s="114" customFormat="1" ht="15">
      <c r="A243" s="2"/>
      <c r="B243" s="2"/>
      <c r="C243" s="2"/>
      <c r="D243" s="2"/>
      <c r="E243" s="48"/>
      <c r="F243" s="2"/>
      <c r="G243" s="2"/>
      <c r="H243" s="29"/>
      <c r="I243" s="45">
        <f>H242-E242</f>
        <v>41154.19999999998</v>
      </c>
      <c r="J243" s="46"/>
      <c r="K243" s="47" t="s">
        <v>368</v>
      </c>
    </row>
    <row r="244" spans="1:11" s="114" customFormat="1" ht="15">
      <c r="A244" s="386" t="s">
        <v>33</v>
      </c>
      <c r="B244" s="386"/>
      <c r="C244" s="386"/>
      <c r="D244" s="2"/>
      <c r="E244" s="48"/>
      <c r="F244" s="2"/>
      <c r="G244" s="49"/>
      <c r="H244" s="50"/>
      <c r="I244" s="51">
        <f>F240-B236</f>
        <v>36.237499999995634</v>
      </c>
      <c r="J244" s="52"/>
      <c r="K244" s="47" t="s">
        <v>369</v>
      </c>
    </row>
    <row r="245" spans="1:11" s="114" customFormat="1" ht="15">
      <c r="A245" s="387" t="s">
        <v>202</v>
      </c>
      <c r="B245" s="387"/>
      <c r="C245" s="387"/>
      <c r="D245" s="2"/>
      <c r="E245" s="48"/>
      <c r="F245" s="2"/>
      <c r="G245" s="48"/>
      <c r="H245" s="50"/>
      <c r="I245" s="46">
        <f>(((E242+I242)/E242)^(365/I244))-1</f>
        <v>16.450415232164104</v>
      </c>
      <c r="J245" s="46"/>
      <c r="K245" s="47" t="s">
        <v>370</v>
      </c>
    </row>
    <row r="246" s="114" customFormat="1" ht="15"/>
    <row r="247" s="114" customFormat="1" ht="15"/>
    <row r="248" spans="1:20" s="114" customFormat="1" ht="15">
      <c r="A248" s="12" t="s">
        <v>36</v>
      </c>
      <c r="B248" s="13">
        <v>42240.27222222222</v>
      </c>
      <c r="C248" s="14">
        <v>200</v>
      </c>
      <c r="D248" s="15">
        <v>400</v>
      </c>
      <c r="E248" s="15">
        <f aca="true" t="shared" si="103" ref="E248">C248*D248+11</f>
        <v>80011</v>
      </c>
      <c r="F248" s="152">
        <v>42235.49930555555</v>
      </c>
      <c r="G248" s="150">
        <v>256.06</v>
      </c>
      <c r="H248" s="151">
        <f aca="true" t="shared" si="104" ref="H248">G248*D248</f>
        <v>102424</v>
      </c>
      <c r="I248" s="16">
        <f aca="true" t="shared" si="105" ref="I248">H248-E248</f>
        <v>22413</v>
      </c>
      <c r="J248" s="19">
        <f aca="true" t="shared" si="106" ref="J248">I248/E248</f>
        <v>0.28012398295234403</v>
      </c>
      <c r="K248" s="95" t="s">
        <v>360</v>
      </c>
      <c r="L248" s="154">
        <v>262</v>
      </c>
      <c r="M248" s="153">
        <f aca="true" t="shared" si="107" ref="M248">C248*0.93</f>
        <v>186</v>
      </c>
      <c r="N248" s="117"/>
      <c r="O248" s="114" t="s">
        <v>357</v>
      </c>
      <c r="P248" s="116" t="s">
        <v>36</v>
      </c>
      <c r="Q248" s="117"/>
      <c r="R248" s="117"/>
      <c r="S248" s="117"/>
      <c r="T248" s="116"/>
    </row>
    <row r="249" s="114" customFormat="1" ht="15"/>
    <row r="250" spans="1:11" s="114" customFormat="1" ht="15">
      <c r="A250" s="2" t="s">
        <v>32</v>
      </c>
      <c r="B250" s="2"/>
      <c r="C250" s="2"/>
      <c r="D250" s="6">
        <f>SUM(D248:D249)</f>
        <v>400</v>
      </c>
      <c r="E250" s="6">
        <f>SUM(E248:E249)</f>
        <v>80011</v>
      </c>
      <c r="F250" s="2"/>
      <c r="G250" s="2"/>
      <c r="H250" s="6">
        <f>SUM(H248:H249)</f>
        <v>102424</v>
      </c>
      <c r="I250" s="45">
        <f>SUM(I248:I249)</f>
        <v>22413</v>
      </c>
      <c r="J250" s="46">
        <f>I250/E250</f>
        <v>0.28012398295234403</v>
      </c>
      <c r="K250" s="47" t="s">
        <v>376</v>
      </c>
    </row>
    <row r="251" spans="1:11" s="114" customFormat="1" ht="15">
      <c r="A251" s="2"/>
      <c r="B251" s="2"/>
      <c r="C251" s="2"/>
      <c r="D251" s="2"/>
      <c r="E251" s="48"/>
      <c r="F251" s="2"/>
      <c r="G251" s="2"/>
      <c r="H251" s="29"/>
      <c r="I251" s="45">
        <f>H250-E250</f>
        <v>22413</v>
      </c>
      <c r="J251" s="46"/>
      <c r="K251" s="47" t="s">
        <v>377</v>
      </c>
    </row>
    <row r="252" spans="1:11" s="114" customFormat="1" ht="15">
      <c r="A252" s="386" t="s">
        <v>33</v>
      </c>
      <c r="B252" s="386"/>
      <c r="C252" s="386"/>
      <c r="D252" s="2"/>
      <c r="E252" s="48"/>
      <c r="F252" s="2"/>
      <c r="G252" s="49"/>
      <c r="H252" s="50"/>
      <c r="I252" s="51">
        <f>B248-F248</f>
        <v>4.772916666668607</v>
      </c>
      <c r="J252" s="52"/>
      <c r="K252" s="47"/>
    </row>
    <row r="253" spans="1:10" s="114" customFormat="1" ht="15">
      <c r="A253" s="387" t="s">
        <v>202</v>
      </c>
      <c r="B253" s="387"/>
      <c r="C253" s="387"/>
      <c r="D253" s="2"/>
      <c r="E253" s="48"/>
      <c r="F253" s="2"/>
      <c r="G253" s="48"/>
      <c r="H253" s="50"/>
      <c r="I253" s="158">
        <f>(((E250+I250)/E250)^(365/I252))-1</f>
        <v>159184769.94365492</v>
      </c>
      <c r="J253" s="46"/>
    </row>
    <row r="254" s="114" customFormat="1" ht="15"/>
    <row r="255" s="114" customFormat="1" ht="15"/>
    <row r="256" spans="1:20" s="114" customFormat="1" ht="15">
      <c r="A256" s="12" t="s">
        <v>355</v>
      </c>
      <c r="B256" s="157">
        <v>42240.279861111114</v>
      </c>
      <c r="C256" s="14">
        <v>90.07</v>
      </c>
      <c r="D256" s="15">
        <v>750</v>
      </c>
      <c r="E256" s="15">
        <f aca="true" t="shared" si="108" ref="E256">C256*D256+11</f>
        <v>67563.5</v>
      </c>
      <c r="F256" s="152">
        <v>42227.27777777778</v>
      </c>
      <c r="G256" s="150">
        <v>115.2</v>
      </c>
      <c r="H256" s="151">
        <f aca="true" t="shared" si="109" ref="H256">G256*D256</f>
        <v>86400</v>
      </c>
      <c r="I256" s="16">
        <f aca="true" t="shared" si="110" ref="I256">H256-E256</f>
        <v>18836.5</v>
      </c>
      <c r="J256" s="19">
        <f aca="true" t="shared" si="111" ref="J256">I256/E256</f>
        <v>0.27879698357841143</v>
      </c>
      <c r="K256" s="95" t="s">
        <v>358</v>
      </c>
      <c r="L256" s="154">
        <v>117.5</v>
      </c>
      <c r="M256" s="153">
        <f aca="true" t="shared" si="112" ref="M256">C256*0.93</f>
        <v>83.7651</v>
      </c>
      <c r="N256" s="117"/>
      <c r="O256" s="114" t="s">
        <v>357</v>
      </c>
      <c r="P256" s="116" t="s">
        <v>356</v>
      </c>
      <c r="Q256" s="117"/>
      <c r="R256" s="117"/>
      <c r="S256" s="117"/>
      <c r="T256" s="116"/>
    </row>
    <row r="257" s="114" customFormat="1" ht="15"/>
    <row r="258" spans="1:11" s="114" customFormat="1" ht="15">
      <c r="A258" s="2" t="s">
        <v>32</v>
      </c>
      <c r="B258" s="2"/>
      <c r="C258" s="2"/>
      <c r="D258" s="6">
        <f>SUM(D256:D257)</f>
        <v>750</v>
      </c>
      <c r="E258" s="6">
        <f>SUM(E256:E257)</f>
        <v>67563.5</v>
      </c>
      <c r="F258" s="2"/>
      <c r="G258" s="2"/>
      <c r="H258" s="6">
        <f>SUM(H256:H257)</f>
        <v>86400</v>
      </c>
      <c r="I258" s="45">
        <f>SUM(I256:I257)</f>
        <v>18836.5</v>
      </c>
      <c r="J258" s="46">
        <f>I258/E258</f>
        <v>0.27879698357841143</v>
      </c>
      <c r="K258" s="47" t="s">
        <v>378</v>
      </c>
    </row>
    <row r="259" spans="1:11" s="114" customFormat="1" ht="15">
      <c r="A259" s="2"/>
      <c r="B259" s="2"/>
      <c r="C259" s="2"/>
      <c r="D259" s="2"/>
      <c r="E259" s="48"/>
      <c r="F259" s="2"/>
      <c r="G259" s="2"/>
      <c r="H259" s="29"/>
      <c r="I259" s="45">
        <f>H258-E258</f>
        <v>18836.5</v>
      </c>
      <c r="J259" s="46"/>
      <c r="K259" s="47" t="s">
        <v>379</v>
      </c>
    </row>
    <row r="260" spans="1:11" s="114" customFormat="1" ht="15">
      <c r="A260" s="386" t="s">
        <v>33</v>
      </c>
      <c r="B260" s="386"/>
      <c r="C260" s="386"/>
      <c r="D260" s="2"/>
      <c r="E260" s="48"/>
      <c r="F260" s="2"/>
      <c r="G260" s="49"/>
      <c r="H260" s="50"/>
      <c r="I260" s="51">
        <f>B256-F256</f>
        <v>13.002083333332848</v>
      </c>
      <c r="J260" s="52"/>
      <c r="K260" s="47" t="s">
        <v>380</v>
      </c>
    </row>
    <row r="261" spans="1:10" s="114" customFormat="1" ht="15">
      <c r="A261" s="387" t="s">
        <v>202</v>
      </c>
      <c r="B261" s="387"/>
      <c r="C261" s="387"/>
      <c r="D261" s="2"/>
      <c r="E261" s="48"/>
      <c r="F261" s="2"/>
      <c r="G261" s="48"/>
      <c r="H261" s="50"/>
      <c r="I261" s="158">
        <f>(((E258+I258)/E258)^(365/I260))-1</f>
        <v>994.8178796844287</v>
      </c>
      <c r="J261" s="46"/>
    </row>
    <row r="262" s="114" customFormat="1" ht="15"/>
    <row r="263" s="114" customFormat="1" ht="15"/>
    <row r="264" spans="1:20" s="114" customFormat="1" ht="15">
      <c r="A264" s="12" t="s">
        <v>40</v>
      </c>
      <c r="B264" s="13">
        <v>42242.4875</v>
      </c>
      <c r="C264" s="14">
        <v>193.04</v>
      </c>
      <c r="D264" s="15">
        <v>500</v>
      </c>
      <c r="E264" s="15">
        <f aca="true" t="shared" si="113" ref="E264">C264*D264+11</f>
        <v>96531</v>
      </c>
      <c r="F264" s="152">
        <v>42221.36666666667</v>
      </c>
      <c r="G264" s="150">
        <v>217.87</v>
      </c>
      <c r="H264" s="151">
        <f aca="true" t="shared" si="114" ref="H264">G264*D264</f>
        <v>108935</v>
      </c>
      <c r="I264" s="16">
        <f aca="true" t="shared" si="115" ref="I264">H264-E264</f>
        <v>12404</v>
      </c>
      <c r="J264" s="19">
        <f aca="true" t="shared" si="116" ref="J264">I264/E264</f>
        <v>0.12849758108794065</v>
      </c>
      <c r="K264" s="95" t="s">
        <v>336</v>
      </c>
      <c r="L264" s="154">
        <v>218.5</v>
      </c>
      <c r="M264" s="153">
        <f aca="true" t="shared" si="117" ref="M264">C264*0.93</f>
        <v>179.5272</v>
      </c>
      <c r="N264" s="117"/>
      <c r="O264" s="114" t="s">
        <v>357</v>
      </c>
      <c r="P264" s="116" t="s">
        <v>40</v>
      </c>
      <c r="Q264" s="117"/>
      <c r="R264" s="117"/>
      <c r="S264" s="117"/>
      <c r="T264" s="116"/>
    </row>
    <row r="265" s="114" customFormat="1" ht="15"/>
    <row r="266" spans="1:11" s="114" customFormat="1" ht="15">
      <c r="A266" s="2" t="s">
        <v>32</v>
      </c>
      <c r="B266" s="2"/>
      <c r="C266" s="2"/>
      <c r="D266" s="6">
        <f>SUM(D264:D265)</f>
        <v>500</v>
      </c>
      <c r="E266" s="6">
        <f>SUM(E264:E265)</f>
        <v>96531</v>
      </c>
      <c r="F266" s="2"/>
      <c r="G266" s="2"/>
      <c r="H266" s="6">
        <f>SUM(H264:H265)</f>
        <v>108935</v>
      </c>
      <c r="I266" s="45">
        <f>SUM(I264:I265)</f>
        <v>12404</v>
      </c>
      <c r="J266" s="46">
        <f>I266/E266</f>
        <v>0.12849758108794065</v>
      </c>
      <c r="K266" s="47" t="s">
        <v>381</v>
      </c>
    </row>
    <row r="267" spans="1:11" s="114" customFormat="1" ht="15">
      <c r="A267" s="2"/>
      <c r="B267" s="2"/>
      <c r="C267" s="2"/>
      <c r="D267" s="2"/>
      <c r="E267" s="48"/>
      <c r="F267" s="2"/>
      <c r="G267" s="2"/>
      <c r="H267" s="29"/>
      <c r="I267" s="45">
        <f>H266-E266</f>
        <v>12404</v>
      </c>
      <c r="J267" s="46"/>
      <c r="K267" s="47" t="s">
        <v>382</v>
      </c>
    </row>
    <row r="268" spans="1:11" s="114" customFormat="1" ht="15">
      <c r="A268" s="386" t="s">
        <v>33</v>
      </c>
      <c r="B268" s="386"/>
      <c r="C268" s="386"/>
      <c r="D268" s="2"/>
      <c r="E268" s="48"/>
      <c r="F268" s="2"/>
      <c r="G268" s="49"/>
      <c r="H268" s="50"/>
      <c r="I268" s="51">
        <f>B264-F264</f>
        <v>21.120833333334303</v>
      </c>
      <c r="J268" s="52"/>
      <c r="K268" s="47"/>
    </row>
    <row r="269" spans="1:10" s="114" customFormat="1" ht="15">
      <c r="A269" s="387" t="s">
        <v>202</v>
      </c>
      <c r="B269" s="387"/>
      <c r="C269" s="387"/>
      <c r="D269" s="2"/>
      <c r="E269" s="48"/>
      <c r="F269" s="2"/>
      <c r="G269" s="48"/>
      <c r="H269" s="50"/>
      <c r="I269" s="158">
        <f>(((E266+I266)/E266)^(365/I268))-1</f>
        <v>7.077751211452828</v>
      </c>
      <c r="J269" s="46"/>
    </row>
    <row r="270" s="114" customFormat="1" ht="15"/>
    <row r="271" s="114" customFormat="1" ht="15"/>
    <row r="272" spans="1:20" s="114" customFormat="1" ht="15">
      <c r="A272" s="12" t="s">
        <v>65</v>
      </c>
      <c r="B272" s="13">
        <v>42221.27638888889</v>
      </c>
      <c r="C272" s="14">
        <v>36.01</v>
      </c>
      <c r="D272" s="15">
        <v>2800</v>
      </c>
      <c r="E272" s="15">
        <f aca="true" t="shared" si="118" ref="E272:E274">C272*D272+11</f>
        <v>100839</v>
      </c>
      <c r="F272" s="13">
        <v>42263.53611111111</v>
      </c>
      <c r="G272" s="14">
        <v>38.03</v>
      </c>
      <c r="H272" s="15">
        <f aca="true" t="shared" si="119" ref="H272:H274">G272*D272</f>
        <v>106484</v>
      </c>
      <c r="I272" s="16">
        <f aca="true" t="shared" si="120" ref="I272:I274">H272-E272</f>
        <v>5645</v>
      </c>
      <c r="J272" s="19">
        <f aca="true" t="shared" si="121" ref="J272:J274">I272/E272</f>
        <v>0.055980325072640544</v>
      </c>
      <c r="K272" s="95" t="s">
        <v>399</v>
      </c>
      <c r="L272" s="119">
        <v>35.55</v>
      </c>
      <c r="M272" s="41">
        <f aca="true" t="shared" si="122" ref="M272:M274">C272*0.93</f>
        <v>33.4893</v>
      </c>
      <c r="N272" s="117">
        <v>40.96</v>
      </c>
      <c r="O272" s="121">
        <v>42290</v>
      </c>
      <c r="P272" s="116" t="s">
        <v>65</v>
      </c>
      <c r="Q272" s="117">
        <v>41.58</v>
      </c>
      <c r="R272" s="118">
        <f>Q272*0.855</f>
        <v>35.5509</v>
      </c>
      <c r="S272" s="117">
        <f>1.11*C272</f>
        <v>39.9711</v>
      </c>
      <c r="T272" s="116"/>
    </row>
    <row r="273" spans="1:20" s="114" customFormat="1" ht="15">
      <c r="A273" s="12" t="s">
        <v>65</v>
      </c>
      <c r="B273" s="13">
        <v>42221.322222222225</v>
      </c>
      <c r="C273" s="14">
        <v>37.24</v>
      </c>
      <c r="D273" s="15">
        <v>1700</v>
      </c>
      <c r="E273" s="15">
        <f t="shared" si="118"/>
        <v>63319</v>
      </c>
      <c r="F273" s="13">
        <v>42263.53611111111</v>
      </c>
      <c r="G273" s="14">
        <v>38.03</v>
      </c>
      <c r="H273" s="15">
        <f t="shared" si="119"/>
        <v>64651</v>
      </c>
      <c r="I273" s="16">
        <f t="shared" si="120"/>
        <v>1332</v>
      </c>
      <c r="J273" s="19">
        <f t="shared" si="121"/>
        <v>0.021036339803218625</v>
      </c>
      <c r="K273" s="95" t="s">
        <v>400</v>
      </c>
      <c r="L273" s="119">
        <v>35.55</v>
      </c>
      <c r="M273" s="41">
        <f t="shared" si="122"/>
        <v>34.6332</v>
      </c>
      <c r="N273" s="117">
        <v>40.96</v>
      </c>
      <c r="P273" s="116" t="s">
        <v>65</v>
      </c>
      <c r="Q273" s="117"/>
      <c r="R273" s="117"/>
      <c r="S273" s="117"/>
      <c r="T273" s="116"/>
    </row>
    <row r="274" spans="1:20" s="114" customFormat="1" ht="15">
      <c r="A274" s="12" t="s">
        <v>65</v>
      </c>
      <c r="B274" s="13">
        <v>42221.35763888889</v>
      </c>
      <c r="C274" s="14">
        <v>37.53</v>
      </c>
      <c r="D274" s="15">
        <v>1000</v>
      </c>
      <c r="E274" s="15">
        <f t="shared" si="118"/>
        <v>37541</v>
      </c>
      <c r="F274" s="13">
        <v>42263.53611111111</v>
      </c>
      <c r="G274" s="14">
        <v>38.03</v>
      </c>
      <c r="H274" s="15">
        <f t="shared" si="119"/>
        <v>38030</v>
      </c>
      <c r="I274" s="16">
        <f t="shared" si="120"/>
        <v>489</v>
      </c>
      <c r="J274" s="19">
        <f t="shared" si="121"/>
        <v>0.013025758504035588</v>
      </c>
      <c r="K274" s="95" t="s">
        <v>401</v>
      </c>
      <c r="L274" s="119">
        <v>35.55</v>
      </c>
      <c r="M274" s="41">
        <f t="shared" si="122"/>
        <v>34.9029</v>
      </c>
      <c r="N274" s="117">
        <v>40.96</v>
      </c>
      <c r="P274" s="116" t="s">
        <v>65</v>
      </c>
      <c r="Q274" s="117"/>
      <c r="R274" s="117"/>
      <c r="S274" s="117"/>
      <c r="T274" s="116"/>
    </row>
    <row r="275" s="114" customFormat="1" ht="15"/>
    <row r="276" spans="1:11" s="114" customFormat="1" ht="15">
      <c r="A276" s="2" t="s">
        <v>32</v>
      </c>
      <c r="B276" s="2"/>
      <c r="C276" s="2"/>
      <c r="D276" s="6">
        <f>SUM(D272:D275)</f>
        <v>5500</v>
      </c>
      <c r="E276" s="6">
        <f>SUM(E272:E275)</f>
        <v>201699</v>
      </c>
      <c r="F276" s="2"/>
      <c r="G276" s="2"/>
      <c r="H276" s="6">
        <f>SUM(H272:H275)</f>
        <v>209165</v>
      </c>
      <c r="I276" s="45">
        <f>SUM(I272:I275)</f>
        <v>7466</v>
      </c>
      <c r="J276" s="46">
        <f>I276/E276</f>
        <v>0.03701555287829885</v>
      </c>
      <c r="K276" s="47" t="s">
        <v>402</v>
      </c>
    </row>
    <row r="277" spans="1:11" s="114" customFormat="1" ht="15">
      <c r="A277" s="2"/>
      <c r="B277" s="2"/>
      <c r="C277" s="2"/>
      <c r="D277" s="2"/>
      <c r="E277" s="48"/>
      <c r="F277" s="2"/>
      <c r="G277" s="2"/>
      <c r="H277" s="29"/>
      <c r="I277" s="45">
        <f>H276-E276</f>
        <v>7466</v>
      </c>
      <c r="J277" s="46"/>
      <c r="K277" s="47" t="s">
        <v>403</v>
      </c>
    </row>
    <row r="278" spans="1:11" s="114" customFormat="1" ht="15">
      <c r="A278" s="386" t="s">
        <v>33</v>
      </c>
      <c r="B278" s="386"/>
      <c r="C278" s="386"/>
      <c r="D278" s="2"/>
      <c r="E278" s="48"/>
      <c r="F278" s="2"/>
      <c r="G278" s="49"/>
      <c r="H278" s="50"/>
      <c r="I278" s="51">
        <f>F274-B272</f>
        <v>42.25972222222481</v>
      </c>
      <c r="J278" s="52"/>
      <c r="K278" s="47" t="s">
        <v>404</v>
      </c>
    </row>
    <row r="279" spans="1:11" s="114" customFormat="1" ht="15">
      <c r="A279" s="387" t="s">
        <v>202</v>
      </c>
      <c r="B279" s="387"/>
      <c r="C279" s="387"/>
      <c r="D279" s="2"/>
      <c r="E279" s="48"/>
      <c r="F279" s="2"/>
      <c r="G279" s="48"/>
      <c r="H279" s="50"/>
      <c r="I279" s="46">
        <f>(((E276+I276)/E276)^(365/I278))-1</f>
        <v>0.3687950120868424</v>
      </c>
      <c r="J279" s="46"/>
      <c r="K279" s="47" t="s">
        <v>405</v>
      </c>
    </row>
    <row r="280" s="114" customFormat="1" ht="15"/>
    <row r="281" s="114" customFormat="1" ht="15"/>
    <row r="282" spans="1:20" s="114" customFormat="1" ht="15">
      <c r="A282" s="12" t="s">
        <v>390</v>
      </c>
      <c r="B282" s="13">
        <v>42250.32430555556</v>
      </c>
      <c r="C282" s="14">
        <v>74.24</v>
      </c>
      <c r="D282" s="15">
        <v>1350</v>
      </c>
      <c r="E282" s="15">
        <f aca="true" t="shared" si="123" ref="E282:E284">C282*D282+11</f>
        <v>100235</v>
      </c>
      <c r="F282" s="13">
        <v>42272.53402777778</v>
      </c>
      <c r="G282" s="14">
        <v>72.08</v>
      </c>
      <c r="H282" s="15">
        <f aca="true" t="shared" si="124" ref="H282:H284">G282*D282</f>
        <v>97308</v>
      </c>
      <c r="I282" s="16">
        <f aca="true" t="shared" si="125" ref="I282:I284">H282-E282</f>
        <v>-2927</v>
      </c>
      <c r="J282" s="19">
        <f aca="true" t="shared" si="126" ref="J282:J284">I282/E282</f>
        <v>-0.029201376764603184</v>
      </c>
      <c r="K282" s="95" t="s">
        <v>409</v>
      </c>
      <c r="L282" s="119"/>
      <c r="M282" s="20">
        <f aca="true" t="shared" si="127" ref="M282:M284">C282*0.93</f>
        <v>69.0432</v>
      </c>
      <c r="N282" s="117">
        <v>92.48</v>
      </c>
      <c r="O282" s="121">
        <v>42275</v>
      </c>
      <c r="P282" s="116" t="s">
        <v>390</v>
      </c>
      <c r="Q282" s="117">
        <v>81.54</v>
      </c>
      <c r="R282" s="118"/>
      <c r="S282" s="117">
        <f>1.11*C282</f>
        <v>82.4064</v>
      </c>
      <c r="T282" s="116"/>
    </row>
    <row r="283" spans="1:20" s="114" customFormat="1" ht="15">
      <c r="A283" s="12" t="s">
        <v>390</v>
      </c>
      <c r="B283" s="13">
        <v>42255.49652777778</v>
      </c>
      <c r="C283" s="14">
        <v>76.19</v>
      </c>
      <c r="D283" s="15">
        <v>790</v>
      </c>
      <c r="E283" s="15">
        <f t="shared" si="123"/>
        <v>60201.1</v>
      </c>
      <c r="F283" s="13">
        <v>42272.53402777778</v>
      </c>
      <c r="G283" s="14">
        <v>72.08</v>
      </c>
      <c r="H283" s="15">
        <f t="shared" si="124"/>
        <v>56943.2</v>
      </c>
      <c r="I283" s="16">
        <f t="shared" si="125"/>
        <v>-3257.9000000000015</v>
      </c>
      <c r="J283" s="19">
        <f t="shared" si="126"/>
        <v>-0.05411695135138729</v>
      </c>
      <c r="K283" s="95" t="s">
        <v>410</v>
      </c>
      <c r="L283" s="119"/>
      <c r="M283" s="20">
        <f t="shared" si="127"/>
        <v>70.8567</v>
      </c>
      <c r="N283" s="117">
        <v>92.48</v>
      </c>
      <c r="O283" s="87"/>
      <c r="P283" s="116" t="s">
        <v>390</v>
      </c>
      <c r="Q283" s="117"/>
      <c r="R283" s="118"/>
      <c r="S283" s="117"/>
      <c r="T283" s="116"/>
    </row>
    <row r="284" spans="1:20" s="114" customFormat="1" ht="15">
      <c r="A284" s="12" t="s">
        <v>390</v>
      </c>
      <c r="B284" s="13">
        <v>42256.27569444444</v>
      </c>
      <c r="C284" s="14">
        <v>77.75</v>
      </c>
      <c r="D284" s="15">
        <v>510</v>
      </c>
      <c r="E284" s="15">
        <f t="shared" si="123"/>
        <v>39663.5</v>
      </c>
      <c r="F284" s="13">
        <v>42272.53402777778</v>
      </c>
      <c r="G284" s="14">
        <v>72.08</v>
      </c>
      <c r="H284" s="15">
        <f t="shared" si="124"/>
        <v>36760.799999999996</v>
      </c>
      <c r="I284" s="16">
        <f t="shared" si="125"/>
        <v>-2902.7000000000044</v>
      </c>
      <c r="J284" s="19">
        <f t="shared" si="126"/>
        <v>-0.07318315327694239</v>
      </c>
      <c r="K284" s="95" t="s">
        <v>411</v>
      </c>
      <c r="L284" s="119"/>
      <c r="M284" s="20">
        <f t="shared" si="127"/>
        <v>72.3075</v>
      </c>
      <c r="N284" s="117">
        <v>92.48</v>
      </c>
      <c r="O284" s="87"/>
      <c r="P284" s="116" t="s">
        <v>390</v>
      </c>
      <c r="Q284" s="117"/>
      <c r="R284" s="118"/>
      <c r="S284" s="117"/>
      <c r="T284" s="116"/>
    </row>
    <row r="285" s="114" customFormat="1" ht="15"/>
    <row r="286" spans="1:11" s="114" customFormat="1" ht="15">
      <c r="A286" s="2" t="s">
        <v>32</v>
      </c>
      <c r="B286" s="2"/>
      <c r="C286" s="2"/>
      <c r="D286" s="6">
        <f>SUM(D282:D285)</f>
        <v>2650</v>
      </c>
      <c r="E286" s="6">
        <f>SUM(E282:E285)</f>
        <v>200099.6</v>
      </c>
      <c r="F286" s="2"/>
      <c r="G286" s="2"/>
      <c r="H286" s="6">
        <f>SUM(H282:H285)</f>
        <v>191012</v>
      </c>
      <c r="I286" s="45">
        <f>SUM(I282:I285)</f>
        <v>-9087.600000000006</v>
      </c>
      <c r="J286" s="96">
        <f>I286/E286</f>
        <v>-0.045415383139196706</v>
      </c>
      <c r="K286" s="47" t="s">
        <v>412</v>
      </c>
    </row>
    <row r="287" spans="1:11" s="114" customFormat="1" ht="15">
      <c r="A287" s="2"/>
      <c r="B287" s="2"/>
      <c r="C287" s="2"/>
      <c r="D287" s="2"/>
      <c r="E287" s="48"/>
      <c r="F287" s="2"/>
      <c r="G287" s="2"/>
      <c r="H287" s="29"/>
      <c r="I287" s="45">
        <f>H286-E286</f>
        <v>-9087.600000000006</v>
      </c>
      <c r="J287" s="46"/>
      <c r="K287" s="47" t="s">
        <v>413</v>
      </c>
    </row>
    <row r="288" spans="1:11" s="114" customFormat="1" ht="15">
      <c r="A288" s="386" t="s">
        <v>33</v>
      </c>
      <c r="B288" s="386"/>
      <c r="C288" s="386"/>
      <c r="D288" s="2"/>
      <c r="E288" s="48"/>
      <c r="F288" s="2"/>
      <c r="G288" s="49"/>
      <c r="H288" s="50"/>
      <c r="I288" s="51">
        <f>F284-B282</f>
        <v>22.2097222222219</v>
      </c>
      <c r="J288" s="52"/>
      <c r="K288" s="47" t="s">
        <v>414</v>
      </c>
    </row>
    <row r="289" spans="1:11" s="114" customFormat="1" ht="15">
      <c r="A289" s="387" t="s">
        <v>202</v>
      </c>
      <c r="B289" s="387"/>
      <c r="C289" s="387"/>
      <c r="D289" s="2"/>
      <c r="E289" s="48"/>
      <c r="F289" s="2"/>
      <c r="G289" s="48"/>
      <c r="H289" s="50"/>
      <c r="I289" s="96">
        <f>(((E286+I286)/E286)^(365/I288))-1</f>
        <v>-0.5341292589453523</v>
      </c>
      <c r="J289" s="46"/>
      <c r="K289" s="47" t="s">
        <v>415</v>
      </c>
    </row>
    <row r="290" s="114" customFormat="1" ht="15"/>
    <row r="291" s="114" customFormat="1" ht="15"/>
    <row r="292" spans="1:20" s="114" customFormat="1" ht="15">
      <c r="A292" s="85" t="s">
        <v>418</v>
      </c>
      <c r="B292" s="13">
        <v>42268.30138888889</v>
      </c>
      <c r="C292" s="14">
        <v>20.45</v>
      </c>
      <c r="D292" s="15">
        <v>4900</v>
      </c>
      <c r="E292" s="15">
        <f aca="true" t="shared" si="128" ref="E292">C292*D292+11</f>
        <v>100216</v>
      </c>
      <c r="F292" s="13">
        <v>42269.535416666666</v>
      </c>
      <c r="G292" s="14">
        <v>19.77</v>
      </c>
      <c r="H292" s="15">
        <f aca="true" t="shared" si="129" ref="H292">G292*D292</f>
        <v>96873</v>
      </c>
      <c r="I292" s="16">
        <f aca="true" t="shared" si="130" ref="I292">H292-E292</f>
        <v>-3343</v>
      </c>
      <c r="J292" s="19">
        <f aca="true" t="shared" si="131" ref="J292">I292/E292</f>
        <v>-0.033357946834836755</v>
      </c>
      <c r="K292" s="95" t="s">
        <v>419</v>
      </c>
      <c r="L292" s="119"/>
      <c r="M292" s="20">
        <f aca="true" t="shared" si="132" ref="M292">C292*0.93</f>
        <v>19.0185</v>
      </c>
      <c r="N292" s="117">
        <v>25.4</v>
      </c>
      <c r="O292" s="87"/>
      <c r="P292" s="116" t="s">
        <v>418</v>
      </c>
      <c r="Q292" s="117"/>
      <c r="R292" s="118"/>
      <c r="S292" s="117">
        <f>1.11*C292</f>
        <v>22.6995</v>
      </c>
      <c r="T292" s="116"/>
    </row>
    <row r="293" s="114" customFormat="1" ht="15"/>
    <row r="294" spans="1:11" s="114" customFormat="1" ht="15">
      <c r="A294" s="2" t="s">
        <v>32</v>
      </c>
      <c r="B294" s="2"/>
      <c r="C294" s="2"/>
      <c r="D294" s="6">
        <f>SUM(D292:D293)</f>
        <v>4900</v>
      </c>
      <c r="E294" s="6">
        <f>SUM(E292:E293)</f>
        <v>100216</v>
      </c>
      <c r="F294" s="2"/>
      <c r="G294" s="2"/>
      <c r="H294" s="6">
        <f>SUM(H292:H293)</f>
        <v>96873</v>
      </c>
      <c r="I294" s="45">
        <f>SUM(I292:I293)</f>
        <v>-3343</v>
      </c>
      <c r="J294" s="96">
        <f>I294/E294</f>
        <v>-0.033357946834836755</v>
      </c>
      <c r="K294" s="47" t="s">
        <v>421</v>
      </c>
    </row>
    <row r="295" spans="1:11" s="114" customFormat="1" ht="15">
      <c r="A295" s="2"/>
      <c r="B295" s="2"/>
      <c r="C295" s="2"/>
      <c r="D295" s="2"/>
      <c r="E295" s="48"/>
      <c r="F295" s="2"/>
      <c r="G295" s="2"/>
      <c r="H295" s="29"/>
      <c r="I295" s="45">
        <f>H294-E294</f>
        <v>-3343</v>
      </c>
      <c r="J295" s="46"/>
      <c r="K295" s="47" t="s">
        <v>422</v>
      </c>
    </row>
    <row r="296" spans="1:11" s="114" customFormat="1" ht="15">
      <c r="A296" s="386" t="s">
        <v>33</v>
      </c>
      <c r="B296" s="386"/>
      <c r="C296" s="386"/>
      <c r="D296" s="2"/>
      <c r="E296" s="48"/>
      <c r="F296" s="2"/>
      <c r="G296" s="49"/>
      <c r="H296" s="50"/>
      <c r="I296" s="51">
        <f>F292-B292</f>
        <v>1.234027777776646</v>
      </c>
      <c r="J296" s="52"/>
      <c r="K296" s="47"/>
    </row>
    <row r="297" spans="1:10" s="114" customFormat="1" ht="15">
      <c r="A297" s="387" t="s">
        <v>202</v>
      </c>
      <c r="B297" s="387"/>
      <c r="C297" s="387"/>
      <c r="D297" s="2"/>
      <c r="E297" s="48"/>
      <c r="F297" s="2"/>
      <c r="G297" s="48"/>
      <c r="H297" s="50"/>
      <c r="I297" s="96">
        <f>(((E294+I294)/E294)^(365/I296))-1</f>
        <v>-0.9999561577255034</v>
      </c>
      <c r="J297" s="46"/>
    </row>
    <row r="298" s="114" customFormat="1" ht="15"/>
    <row r="299" s="114" customFormat="1" ht="15"/>
    <row r="300" spans="1:20" s="114" customFormat="1" ht="15">
      <c r="A300" s="12" t="s">
        <v>73</v>
      </c>
      <c r="B300" s="13">
        <v>42272.27638888889</v>
      </c>
      <c r="C300" s="14">
        <v>28.4</v>
      </c>
      <c r="D300" s="15">
        <v>3600</v>
      </c>
      <c r="E300" s="15">
        <f aca="true" t="shared" si="133" ref="E300:E303">C300*D300+11</f>
        <v>102251</v>
      </c>
      <c r="F300" s="13">
        <v>42275.53333333333</v>
      </c>
      <c r="G300" s="14">
        <v>27.35</v>
      </c>
      <c r="H300" s="15">
        <f aca="true" t="shared" si="134" ref="H300:H303">G300*D300</f>
        <v>98460</v>
      </c>
      <c r="I300" s="16">
        <f aca="true" t="shared" si="135" ref="I300:I303">H300-E300</f>
        <v>-3791</v>
      </c>
      <c r="J300" s="19">
        <f aca="true" t="shared" si="136" ref="J300:J303">I300/E300</f>
        <v>-0.037075432025114666</v>
      </c>
      <c r="K300" s="95" t="s">
        <v>424</v>
      </c>
      <c r="L300" s="119"/>
      <c r="M300" s="20">
        <f aca="true" t="shared" si="137" ref="M300:M303">C300*0.93</f>
        <v>26.412</v>
      </c>
      <c r="N300" s="117">
        <v>36.2</v>
      </c>
      <c r="O300" s="87"/>
      <c r="P300" s="116" t="s">
        <v>73</v>
      </c>
      <c r="Q300" s="117"/>
      <c r="R300" s="118"/>
      <c r="S300" s="117">
        <f>1.11*C300</f>
        <v>31.524</v>
      </c>
      <c r="T300" s="116"/>
    </row>
    <row r="301" spans="1:20" s="114" customFormat="1" ht="15">
      <c r="A301" s="12" t="s">
        <v>73</v>
      </c>
      <c r="B301" s="13">
        <v>42277.27777777778</v>
      </c>
      <c r="C301" s="14">
        <v>28.8</v>
      </c>
      <c r="D301" s="15">
        <v>3500</v>
      </c>
      <c r="E301" s="15">
        <f t="shared" si="133"/>
        <v>100811</v>
      </c>
      <c r="F301" s="13">
        <v>42307.52569444444</v>
      </c>
      <c r="G301" s="14">
        <v>31.94</v>
      </c>
      <c r="H301" s="15">
        <f t="shared" si="134"/>
        <v>111790</v>
      </c>
      <c r="I301" s="16">
        <f t="shared" si="135"/>
        <v>10979</v>
      </c>
      <c r="J301" s="19">
        <f t="shared" si="136"/>
        <v>0.10890676612671236</v>
      </c>
      <c r="K301" s="95" t="s">
        <v>454</v>
      </c>
      <c r="L301" s="119">
        <v>32.05</v>
      </c>
      <c r="M301" s="41">
        <f t="shared" si="137"/>
        <v>26.784000000000002</v>
      </c>
      <c r="N301" s="117">
        <v>36.2</v>
      </c>
      <c r="O301" s="87"/>
      <c r="P301" s="116" t="s">
        <v>73</v>
      </c>
      <c r="Q301" s="117">
        <v>37.49</v>
      </c>
      <c r="R301" s="118">
        <f>Q301*0.855</f>
        <v>32.05395</v>
      </c>
      <c r="S301" s="117">
        <f>1.11*C301</f>
        <v>31.968000000000004</v>
      </c>
      <c r="T301" s="116"/>
    </row>
    <row r="302" spans="1:20" s="114" customFormat="1" ht="15">
      <c r="A302" s="12" t="s">
        <v>73</v>
      </c>
      <c r="B302" s="13">
        <v>42277.30972222222</v>
      </c>
      <c r="C302" s="14">
        <v>29.12</v>
      </c>
      <c r="D302" s="15">
        <v>2100</v>
      </c>
      <c r="E302" s="15">
        <f t="shared" si="133"/>
        <v>61163</v>
      </c>
      <c r="F302" s="13">
        <v>42307.52569444444</v>
      </c>
      <c r="G302" s="14">
        <v>31.94</v>
      </c>
      <c r="H302" s="15">
        <f t="shared" si="134"/>
        <v>67074</v>
      </c>
      <c r="I302" s="16">
        <f t="shared" si="135"/>
        <v>5911</v>
      </c>
      <c r="J302" s="19">
        <f t="shared" si="136"/>
        <v>0.09664339551689748</v>
      </c>
      <c r="K302" s="95" t="s">
        <v>455</v>
      </c>
      <c r="L302" s="119">
        <v>32.05</v>
      </c>
      <c r="M302" s="41">
        <f t="shared" si="137"/>
        <v>27.0816</v>
      </c>
      <c r="N302" s="117">
        <v>36.2</v>
      </c>
      <c r="O302" s="87"/>
      <c r="P302" s="116" t="s">
        <v>73</v>
      </c>
      <c r="Q302" s="117"/>
      <c r="R302" s="118"/>
      <c r="S302" s="117"/>
      <c r="T302" s="116"/>
    </row>
    <row r="303" spans="1:20" s="114" customFormat="1" ht="15">
      <c r="A303" s="12" t="s">
        <v>73</v>
      </c>
      <c r="B303" s="13">
        <v>42277.34652777778</v>
      </c>
      <c r="C303" s="14">
        <v>29.74</v>
      </c>
      <c r="D303" s="15">
        <v>1350</v>
      </c>
      <c r="E303" s="15">
        <f t="shared" si="133"/>
        <v>40160</v>
      </c>
      <c r="F303" s="13">
        <v>42307.52569444444</v>
      </c>
      <c r="G303" s="14">
        <v>31.94</v>
      </c>
      <c r="H303" s="15">
        <f t="shared" si="134"/>
        <v>43119</v>
      </c>
      <c r="I303" s="16">
        <f t="shared" si="135"/>
        <v>2959</v>
      </c>
      <c r="J303" s="19">
        <f t="shared" si="136"/>
        <v>0.07368027888446216</v>
      </c>
      <c r="K303" s="95" t="s">
        <v>456</v>
      </c>
      <c r="L303" s="119">
        <v>32.05</v>
      </c>
      <c r="M303" s="41">
        <f t="shared" si="137"/>
        <v>27.6582</v>
      </c>
      <c r="N303" s="117">
        <v>36.2</v>
      </c>
      <c r="O303" s="87"/>
      <c r="P303" s="116" t="s">
        <v>73</v>
      </c>
      <c r="Q303" s="117"/>
      <c r="R303" s="118"/>
      <c r="S303" s="117"/>
      <c r="T303" s="116"/>
    </row>
    <row r="304" s="114" customFormat="1" ht="15"/>
    <row r="305" spans="1:11" s="114" customFormat="1" ht="15">
      <c r="A305" s="2" t="s">
        <v>32</v>
      </c>
      <c r="B305" s="2"/>
      <c r="C305" s="2"/>
      <c r="D305" s="6">
        <f>SUM(D300:D304)</f>
        <v>10550</v>
      </c>
      <c r="E305" s="6">
        <f>SUM(E300:E304)</f>
        <v>304385</v>
      </c>
      <c r="F305" s="2"/>
      <c r="G305" s="2"/>
      <c r="H305" s="6">
        <f>SUM(H300:H304)</f>
        <v>320443</v>
      </c>
      <c r="I305" s="45">
        <f>SUM(I300:I304)</f>
        <v>16058</v>
      </c>
      <c r="J305" s="46">
        <f>I305/E305</f>
        <v>0.052755556285625116</v>
      </c>
      <c r="K305" s="47" t="s">
        <v>450</v>
      </c>
    </row>
    <row r="306" spans="1:11" s="114" customFormat="1" ht="15">
      <c r="A306" s="2"/>
      <c r="B306" s="2"/>
      <c r="C306" s="2"/>
      <c r="D306" s="2"/>
      <c r="E306" s="48"/>
      <c r="F306" s="2"/>
      <c r="G306" s="2"/>
      <c r="H306" s="29"/>
      <c r="I306" s="45">
        <f>H305-E305</f>
        <v>16058</v>
      </c>
      <c r="J306" s="46"/>
      <c r="K306" s="47" t="s">
        <v>451</v>
      </c>
    </row>
    <row r="307" spans="1:11" s="114" customFormat="1" ht="15">
      <c r="A307" s="386" t="s">
        <v>33</v>
      </c>
      <c r="B307" s="386"/>
      <c r="C307" s="386"/>
      <c r="D307" s="2"/>
      <c r="E307" s="48"/>
      <c r="F307" s="2"/>
      <c r="G307" s="49"/>
      <c r="H307" s="50"/>
      <c r="I307" s="51">
        <f>F303-B300</f>
        <v>35.24930555555329</v>
      </c>
      <c r="J307" s="52"/>
      <c r="K307" s="47" t="s">
        <v>452</v>
      </c>
    </row>
    <row r="308" spans="1:11" s="114" customFormat="1" ht="15">
      <c r="A308" s="387" t="s">
        <v>202</v>
      </c>
      <c r="B308" s="387"/>
      <c r="C308" s="387"/>
      <c r="D308" s="2"/>
      <c r="E308" s="48"/>
      <c r="F308" s="2"/>
      <c r="G308" s="48"/>
      <c r="H308" s="50"/>
      <c r="I308" s="46">
        <f>(((E305+I305)/E305)^(365/I307))-1</f>
        <v>0.70293293654099</v>
      </c>
      <c r="J308" s="46"/>
      <c r="K308" s="47"/>
    </row>
    <row r="309" s="114" customFormat="1" ht="15"/>
    <row r="310" s="114" customFormat="1" ht="15"/>
    <row r="311" s="114" customFormat="1" ht="15"/>
    <row r="312" s="114" customFormat="1" ht="15"/>
    <row r="313" s="114" customFormat="1" ht="15"/>
    <row r="314" s="112" customFormat="1" ht="15"/>
    <row r="315" spans="1:20" s="114" customFormat="1" ht="15">
      <c r="A315" s="85" t="s">
        <v>433</v>
      </c>
      <c r="B315" s="13">
        <v>42282.373611111114</v>
      </c>
      <c r="C315" s="14">
        <v>187.34</v>
      </c>
      <c r="D315" s="15">
        <v>320</v>
      </c>
      <c r="E315" s="15">
        <f aca="true" t="shared" si="138" ref="E315">C315*D315+11</f>
        <v>59959.8</v>
      </c>
      <c r="F315" s="13">
        <v>42286.535416666666</v>
      </c>
      <c r="G315" s="14">
        <v>188.07</v>
      </c>
      <c r="H315" s="15">
        <f aca="true" t="shared" si="139" ref="H315">G315*D315</f>
        <v>60182.399999999994</v>
      </c>
      <c r="I315" s="16">
        <f aca="true" t="shared" si="140" ref="I315">H315-E315</f>
        <v>222.59999999999127</v>
      </c>
      <c r="J315" s="19">
        <f aca="true" t="shared" si="141" ref="J315">I315/E315</f>
        <v>0.003712487366535433</v>
      </c>
      <c r="K315" s="95" t="s">
        <v>448</v>
      </c>
      <c r="L315" s="119"/>
      <c r="M315" s="20">
        <f aca="true" t="shared" si="142" ref="M315">C315*0.93</f>
        <v>174.2262</v>
      </c>
      <c r="N315" s="117">
        <v>232.76</v>
      </c>
      <c r="O315" s="87"/>
      <c r="P315" s="116" t="s">
        <v>433</v>
      </c>
      <c r="Q315" s="117"/>
      <c r="R315" s="118"/>
      <c r="S315" s="117"/>
      <c r="T315" s="116"/>
    </row>
    <row r="316" s="114" customFormat="1" ht="15"/>
    <row r="317" s="114" customFormat="1" ht="15"/>
    <row r="318" s="114" customFormat="1" ht="15"/>
    <row r="319" s="114" customFormat="1" ht="15"/>
    <row r="320" s="114" customFormat="1" ht="15"/>
    <row r="321" spans="1:18" s="57" customFormat="1" ht="15">
      <c r="A321" s="12"/>
      <c r="B321" s="75">
        <v>41467</v>
      </c>
      <c r="C321" s="14"/>
      <c r="D321" s="15"/>
      <c r="E321" s="15"/>
      <c r="F321" s="13"/>
      <c r="G321" s="14"/>
      <c r="H321" s="15"/>
      <c r="I321" s="16"/>
      <c r="J321" s="19"/>
      <c r="K321" s="59"/>
      <c r="L321" s="17"/>
      <c r="M321" s="32"/>
      <c r="N321" s="18"/>
      <c r="P321" s="1"/>
      <c r="Q321" s="1"/>
      <c r="R321" s="1"/>
    </row>
    <row r="322" spans="1:18" s="57" customFormat="1" ht="15">
      <c r="A322" s="12"/>
      <c r="B322" s="13"/>
      <c r="C322" s="14"/>
      <c r="D322" s="15"/>
      <c r="E322" s="15"/>
      <c r="F322" s="75">
        <v>41726</v>
      </c>
      <c r="G322" s="14">
        <v>141.22</v>
      </c>
      <c r="H322" s="15"/>
      <c r="I322" s="16"/>
      <c r="J322" s="19"/>
      <c r="K322" s="59"/>
      <c r="L322" s="17"/>
      <c r="M322" s="32"/>
      <c r="N322" s="18"/>
      <c r="P322" s="1"/>
      <c r="Q322" s="1"/>
      <c r="R322" s="1"/>
    </row>
    <row r="323" s="57" customFormat="1" ht="15"/>
    <row r="324" spans="1:11" s="57" customFormat="1" ht="15">
      <c r="A324" s="2" t="s">
        <v>32</v>
      </c>
      <c r="B324" s="2"/>
      <c r="C324" s="2"/>
      <c r="D324" s="6">
        <f>SUM(D321:D323)</f>
        <v>0</v>
      </c>
      <c r="E324" s="6">
        <v>100</v>
      </c>
      <c r="F324" s="2"/>
      <c r="G324" s="2"/>
      <c r="H324" s="6">
        <v>506</v>
      </c>
      <c r="I324" s="45">
        <f>H324-E324</f>
        <v>406</v>
      </c>
      <c r="J324" s="46">
        <f>I324/E324</f>
        <v>4.06</v>
      </c>
      <c r="K324" s="47" t="s">
        <v>71</v>
      </c>
    </row>
    <row r="325" spans="1:11" s="57" customFormat="1" ht="15">
      <c r="A325" s="2"/>
      <c r="B325" s="2"/>
      <c r="C325" s="2"/>
      <c r="D325" s="2"/>
      <c r="E325" s="48"/>
      <c r="F325" s="2"/>
      <c r="G325" s="2"/>
      <c r="H325" s="29"/>
      <c r="I325" s="45">
        <f>H324-E324</f>
        <v>406</v>
      </c>
      <c r="J325" s="46"/>
      <c r="K325" s="47"/>
    </row>
    <row r="326" spans="1:11" s="57" customFormat="1" ht="15">
      <c r="A326" s="386" t="s">
        <v>33</v>
      </c>
      <c r="B326" s="386"/>
      <c r="C326" s="386"/>
      <c r="D326" s="2"/>
      <c r="E326" s="48"/>
      <c r="F326" s="2"/>
      <c r="G326" s="49"/>
      <c r="H326" s="50"/>
      <c r="I326" s="51">
        <f>F322-B321</f>
        <v>259</v>
      </c>
      <c r="J326" s="52"/>
      <c r="K326" s="47"/>
    </row>
    <row r="327" spans="1:11" s="69" customFormat="1" ht="15">
      <c r="A327" s="74" t="s">
        <v>47</v>
      </c>
      <c r="B327" s="74"/>
      <c r="C327" s="74"/>
      <c r="D327" s="2"/>
      <c r="E327" s="48"/>
      <c r="F327" s="2"/>
      <c r="G327" s="49"/>
      <c r="H327" s="50"/>
      <c r="I327" s="51">
        <f>I326/7</f>
        <v>37</v>
      </c>
      <c r="J327" s="52"/>
      <c r="K327" s="47"/>
    </row>
    <row r="328" spans="1:10" s="57" customFormat="1" ht="15">
      <c r="A328" s="387" t="s">
        <v>34</v>
      </c>
      <c r="B328" s="387"/>
      <c r="C328" s="387"/>
      <c r="D328" s="2"/>
      <c r="E328" s="48"/>
      <c r="F328" s="2"/>
      <c r="G328" s="48"/>
      <c r="H328" s="50"/>
      <c r="I328" s="46">
        <f>(((E324+I324)/E324)^(365/I326))-1</f>
        <v>8.825070389193984</v>
      </c>
      <c r="J328" s="46"/>
    </row>
    <row r="330" ht="15.75" customHeight="1"/>
    <row r="331" s="93" customFormat="1" ht="15.75" customHeight="1"/>
    <row r="332" s="93" customFormat="1" ht="15.75" customHeight="1"/>
    <row r="333" s="93" customFormat="1" ht="15.75" customHeight="1"/>
    <row r="334" s="93" customFormat="1" ht="15.75" customHeight="1"/>
    <row r="335" s="93" customFormat="1" ht="15.75" customHeight="1"/>
    <row r="336" s="93" customFormat="1" ht="15.75" customHeight="1"/>
    <row r="337" s="93" customFormat="1" ht="15.75" customHeight="1"/>
    <row r="338" s="93" customFormat="1" ht="15.75" customHeight="1"/>
    <row r="339" s="93" customFormat="1" ht="15.75" customHeight="1"/>
    <row r="340" s="93" customFormat="1" ht="15.75" customHeight="1"/>
    <row r="341" s="93" customFormat="1" ht="15.75" customHeight="1"/>
    <row r="342" s="93" customFormat="1" ht="15.75" customHeight="1"/>
    <row r="343" s="93" customFormat="1" ht="15.75" customHeight="1"/>
    <row r="344" s="93" customFormat="1" ht="15.75" customHeight="1"/>
    <row r="345" s="93" customFormat="1" ht="15.75" customHeight="1"/>
    <row r="346" s="93" customFormat="1" ht="15.75" customHeight="1"/>
    <row r="347" s="93" customFormat="1" ht="15.75" customHeight="1"/>
    <row r="348" s="93" customFormat="1" ht="15.75" customHeight="1"/>
    <row r="349" s="93" customFormat="1" ht="15.75" customHeight="1"/>
    <row r="350" s="93" customFormat="1" ht="15.75" customHeight="1"/>
    <row r="351" s="93" customFormat="1" ht="15.75" customHeight="1"/>
    <row r="352" s="93" customFormat="1" ht="15.75" customHeight="1"/>
    <row r="353" s="93" customFormat="1" ht="15.75" customHeight="1"/>
    <row r="354" s="93" customFormat="1" ht="15.75" customHeight="1"/>
    <row r="355" s="93" customFormat="1" ht="15.75" customHeight="1"/>
    <row r="356" s="93" customFormat="1" ht="15.75" customHeight="1"/>
    <row r="357" s="93" customFormat="1" ht="15.75" customHeight="1"/>
    <row r="358" s="93" customFormat="1" ht="15.75" customHeight="1"/>
    <row r="359" s="93" customFormat="1" ht="15.75" customHeight="1"/>
    <row r="360" s="93" customFormat="1" ht="15.75" customHeight="1"/>
    <row r="361" s="93" customFormat="1" ht="15.75" customHeight="1"/>
    <row r="362" s="93" customFormat="1" ht="15.75" customHeight="1"/>
    <row r="363" s="93" customFormat="1" ht="15.75" customHeight="1"/>
    <row r="364" s="93" customFormat="1" ht="15.75" customHeight="1"/>
    <row r="365" s="93" customFormat="1" ht="15.75" customHeight="1"/>
    <row r="366" s="93" customFormat="1" ht="15.75" customHeight="1"/>
    <row r="367" s="93" customFormat="1" ht="15.75" customHeight="1"/>
    <row r="368" s="93" customFormat="1" ht="15.75" customHeight="1"/>
    <row r="372" ht="13.9" customHeight="1"/>
    <row r="373" spans="1:18" s="93" customFormat="1" ht="15">
      <c r="A373" s="12"/>
      <c r="B373" s="65"/>
      <c r="C373" s="14"/>
      <c r="D373" s="15"/>
      <c r="E373" s="15"/>
      <c r="F373" s="13"/>
      <c r="G373" s="14"/>
      <c r="H373" s="15"/>
      <c r="I373" s="16"/>
      <c r="J373" s="19"/>
      <c r="K373" s="95"/>
      <c r="L373" s="53"/>
      <c r="M373" s="32"/>
      <c r="N373" s="18"/>
      <c r="P373" s="1"/>
      <c r="Q373" s="1"/>
      <c r="R373" s="1"/>
    </row>
    <row r="374" spans="1:18" s="93" customFormat="1" ht="15">
      <c r="A374" s="12"/>
      <c r="B374" s="65"/>
      <c r="C374" s="14"/>
      <c r="D374" s="15"/>
      <c r="E374" s="15"/>
      <c r="F374" s="13"/>
      <c r="G374" s="14"/>
      <c r="H374" s="15"/>
      <c r="I374" s="16"/>
      <c r="J374" s="19"/>
      <c r="K374" s="95"/>
      <c r="L374" s="53"/>
      <c r="M374" s="32"/>
      <c r="N374" s="18"/>
      <c r="P374" s="1"/>
      <c r="Q374" s="1"/>
      <c r="R374" s="1"/>
    </row>
  </sheetData>
  <mergeCells count="59">
    <mergeCell ref="A279:C279"/>
    <mergeCell ref="A119:C119"/>
    <mergeCell ref="A120:C120"/>
    <mergeCell ref="A132:C132"/>
    <mergeCell ref="A133:C133"/>
    <mergeCell ref="A232:C232"/>
    <mergeCell ref="A260:C260"/>
    <mergeCell ref="A261:C261"/>
    <mergeCell ref="A268:C268"/>
    <mergeCell ref="A269:C269"/>
    <mergeCell ref="A233:C233"/>
    <mergeCell ref="A244:C244"/>
    <mergeCell ref="A245:C245"/>
    <mergeCell ref="A252:C252"/>
    <mergeCell ref="A253:C253"/>
    <mergeCell ref="A278:C278"/>
    <mergeCell ref="A328:C328"/>
    <mergeCell ref="A326:C326"/>
    <mergeCell ref="A146:C146"/>
    <mergeCell ref="A147:C147"/>
    <mergeCell ref="A158:C158"/>
    <mergeCell ref="A159:C159"/>
    <mergeCell ref="A170:C170"/>
    <mergeCell ref="A171:C171"/>
    <mergeCell ref="A199:C199"/>
    <mergeCell ref="A200:C200"/>
    <mergeCell ref="A182:C182"/>
    <mergeCell ref="A183:C183"/>
    <mergeCell ref="A211:C211"/>
    <mergeCell ref="A212:C212"/>
    <mergeCell ref="A222:C222"/>
    <mergeCell ref="A223:C223"/>
    <mergeCell ref="B1:N1"/>
    <mergeCell ref="A10:C10"/>
    <mergeCell ref="A11:C11"/>
    <mergeCell ref="A20:C20"/>
    <mergeCell ref="A21:C21"/>
    <mergeCell ref="A30:C30"/>
    <mergeCell ref="A31:C31"/>
    <mergeCell ref="A41:C41"/>
    <mergeCell ref="A42:C42"/>
    <mergeCell ref="A52:C52"/>
    <mergeCell ref="A53:C53"/>
    <mergeCell ref="A64:C64"/>
    <mergeCell ref="A108:C108"/>
    <mergeCell ref="A109:C109"/>
    <mergeCell ref="A65:C65"/>
    <mergeCell ref="A75:C75"/>
    <mergeCell ref="A76:C76"/>
    <mergeCell ref="A94:C94"/>
    <mergeCell ref="A95:C95"/>
    <mergeCell ref="A83:C83"/>
    <mergeCell ref="A84:C84"/>
    <mergeCell ref="A307:C307"/>
    <mergeCell ref="A308:C308"/>
    <mergeCell ref="A288:C288"/>
    <mergeCell ref="A289:C289"/>
    <mergeCell ref="A296:C296"/>
    <mergeCell ref="A297:C297"/>
  </mergeCells>
  <conditionalFormatting sqref="C321:D322 J321:J322 C373:D374 J373:J374 C1:D2 J1:J2">
    <cfRule type="cellIs" priority="299" dxfId="0" operator="lessThan">
      <formula>0</formula>
    </cfRule>
  </conditionalFormatting>
  <conditionalFormatting sqref="J5:J6 C5:D6">
    <cfRule type="cellIs" priority="47" dxfId="0" operator="lessThan">
      <formula>0</formula>
    </cfRule>
  </conditionalFormatting>
  <conditionalFormatting sqref="J14:J16 C14:D16">
    <cfRule type="cellIs" priority="46" dxfId="0" operator="lessThan">
      <formula>0</formula>
    </cfRule>
  </conditionalFormatting>
  <conditionalFormatting sqref="C24:D26 J24:J26">
    <cfRule type="cellIs" priority="45" dxfId="0" operator="lessThan">
      <formula>0</formula>
    </cfRule>
  </conditionalFormatting>
  <conditionalFormatting sqref="J34:J37 C34:D37">
    <cfRule type="cellIs" priority="44" dxfId="0" operator="lessThan">
      <formula>0</formula>
    </cfRule>
  </conditionalFormatting>
  <conditionalFormatting sqref="J45:J48">
    <cfRule type="cellIs" priority="43" dxfId="0" operator="lessThan">
      <formula>0</formula>
    </cfRule>
  </conditionalFormatting>
  <conditionalFormatting sqref="C46:D48">
    <cfRule type="cellIs" priority="42" dxfId="0" operator="lessThan">
      <formula>0</formula>
    </cfRule>
  </conditionalFormatting>
  <conditionalFormatting sqref="C45:D45">
    <cfRule type="cellIs" priority="41" dxfId="0" operator="lessThan">
      <formula>0</formula>
    </cfRule>
  </conditionalFormatting>
  <conditionalFormatting sqref="J56:J60 C56:D56">
    <cfRule type="cellIs" priority="40" dxfId="0" operator="lessThan">
      <formula>0</formula>
    </cfRule>
  </conditionalFormatting>
  <conditionalFormatting sqref="C57:D60">
    <cfRule type="cellIs" priority="39" dxfId="0" operator="lessThan">
      <formula>0</formula>
    </cfRule>
  </conditionalFormatting>
  <conditionalFormatting sqref="J68:J71 C68:D71">
    <cfRule type="cellIs" priority="38" dxfId="0" operator="lessThan">
      <formula>0</formula>
    </cfRule>
  </conditionalFormatting>
  <conditionalFormatting sqref="C79:D79 J79">
    <cfRule type="cellIs" priority="37" dxfId="0" operator="lessThan">
      <formula>0</formula>
    </cfRule>
  </conditionalFormatting>
  <conditionalFormatting sqref="C87:D90">
    <cfRule type="cellIs" priority="36" dxfId="0" operator="lessThan">
      <formula>0</formula>
    </cfRule>
  </conditionalFormatting>
  <conditionalFormatting sqref="J87:J90">
    <cfRule type="cellIs" priority="35" dxfId="0" operator="lessThan">
      <formula>0</formula>
    </cfRule>
  </conditionalFormatting>
  <conditionalFormatting sqref="C98:D102 J98:J102 J104 C104:D104">
    <cfRule type="cellIs" priority="34" dxfId="0" operator="lessThan">
      <formula>0</formula>
    </cfRule>
  </conditionalFormatting>
  <conditionalFormatting sqref="C103:D103 J103">
    <cfRule type="cellIs" priority="33" dxfId="0" operator="lessThan">
      <formula>0</formula>
    </cfRule>
  </conditionalFormatting>
  <conditionalFormatting sqref="J112:J115 C112:D115">
    <cfRule type="cellIs" priority="32" dxfId="0" operator="lessThan">
      <formula>0</formula>
    </cfRule>
  </conditionalFormatting>
  <conditionalFormatting sqref="C123:D128 J123:J128">
    <cfRule type="cellIs" priority="31" dxfId="0" operator="lessThan">
      <formula>0</formula>
    </cfRule>
  </conditionalFormatting>
  <conditionalFormatting sqref="C136:D137 J136:J137">
    <cfRule type="cellIs" priority="30" dxfId="0" operator="lessThan">
      <formula>0</formula>
    </cfRule>
  </conditionalFormatting>
  <conditionalFormatting sqref="J138 C138:D138">
    <cfRule type="cellIs" priority="29" dxfId="0" operator="lessThan">
      <formula>0</formula>
    </cfRule>
  </conditionalFormatting>
  <conditionalFormatting sqref="J139:J140 C139:D140">
    <cfRule type="cellIs" priority="28" dxfId="0" operator="lessThan">
      <formula>0</formula>
    </cfRule>
  </conditionalFormatting>
  <conditionalFormatting sqref="C141:D142 J141:J142">
    <cfRule type="cellIs" priority="27" dxfId="0" operator="lessThan">
      <formula>0</formula>
    </cfRule>
  </conditionalFormatting>
  <conditionalFormatting sqref="C150:D154">
    <cfRule type="cellIs" priority="26" dxfId="0" operator="lessThan">
      <formula>0</formula>
    </cfRule>
  </conditionalFormatting>
  <conditionalFormatting sqref="J150:J154">
    <cfRule type="cellIs" priority="25" dxfId="0" operator="lessThan">
      <formula>0</formula>
    </cfRule>
  </conditionalFormatting>
  <conditionalFormatting sqref="C162:D166 J162:J166">
    <cfRule type="cellIs" priority="24" dxfId="0" operator="lessThan">
      <formula>0</formula>
    </cfRule>
  </conditionalFormatting>
  <conditionalFormatting sqref="C192:D195">
    <cfRule type="cellIs" priority="19" dxfId="0" operator="lessThan">
      <formula>0</formula>
    </cfRule>
  </conditionalFormatting>
  <conditionalFormatting sqref="C186:D186 J187:J191">
    <cfRule type="cellIs" priority="23" dxfId="0" operator="lessThan">
      <formula>0</formula>
    </cfRule>
  </conditionalFormatting>
  <conditionalFormatting sqref="J186">
    <cfRule type="cellIs" priority="22" dxfId="0" operator="lessThan">
      <formula>0</formula>
    </cfRule>
  </conditionalFormatting>
  <conditionalFormatting sqref="C187:D191">
    <cfRule type="cellIs" priority="21" dxfId="0" operator="lessThan">
      <formula>0</formula>
    </cfRule>
  </conditionalFormatting>
  <conditionalFormatting sqref="J192:J195">
    <cfRule type="cellIs" priority="20" dxfId="0" operator="lessThan">
      <formula>0</formula>
    </cfRule>
  </conditionalFormatting>
  <conditionalFormatting sqref="J173:J178 C173:D178">
    <cfRule type="cellIs" priority="18" dxfId="0" operator="lessThan">
      <formula>0</formula>
    </cfRule>
  </conditionalFormatting>
  <conditionalFormatting sqref="J203:J207 C203:D207">
    <cfRule type="cellIs" priority="17" dxfId="0" operator="lessThan">
      <formula>0</formula>
    </cfRule>
  </conditionalFormatting>
  <conditionalFormatting sqref="C218:D218 J218">
    <cfRule type="cellIs" priority="15" dxfId="0" operator="lessThan">
      <formula>0</formula>
    </cfRule>
  </conditionalFormatting>
  <conditionalFormatting sqref="C216:D217 J216:J217">
    <cfRule type="cellIs" priority="16" dxfId="0" operator="lessThan">
      <formula>0</formula>
    </cfRule>
  </conditionalFormatting>
  <conditionalFormatting sqref="J215 C215:D215">
    <cfRule type="cellIs" priority="14" dxfId="0" operator="lessThan">
      <formula>0</formula>
    </cfRule>
  </conditionalFormatting>
  <conditionalFormatting sqref="J226:J228 C226:D228">
    <cfRule type="cellIs" priority="13" dxfId="0" operator="lessThan">
      <formula>0</formula>
    </cfRule>
  </conditionalFormatting>
  <conditionalFormatting sqref="C236:D240 J236:J240">
    <cfRule type="cellIs" priority="12" dxfId="0" operator="lessThan">
      <formula>0</formula>
    </cfRule>
  </conditionalFormatting>
  <conditionalFormatting sqref="C248:D248 J248">
    <cfRule type="cellIs" priority="11" dxfId="0" operator="lessThan">
      <formula>0</formula>
    </cfRule>
  </conditionalFormatting>
  <conditionalFormatting sqref="C256:D256 J256">
    <cfRule type="cellIs" priority="10" dxfId="0" operator="lessThan">
      <formula>0</formula>
    </cfRule>
  </conditionalFormatting>
  <conditionalFormatting sqref="C264:D264 J264">
    <cfRule type="cellIs" priority="9" dxfId="0" operator="lessThan">
      <formula>0</formula>
    </cfRule>
  </conditionalFormatting>
  <conditionalFormatting sqref="J272:J274">
    <cfRule type="cellIs" priority="8" dxfId="0" operator="lessThan">
      <formula>0</formula>
    </cfRule>
  </conditionalFormatting>
  <conditionalFormatting sqref="D272:D274">
    <cfRule type="cellIs" priority="6" dxfId="0" operator="lessThan">
      <formula>0</formula>
    </cfRule>
  </conditionalFormatting>
  <conditionalFormatting sqref="C272:C274">
    <cfRule type="cellIs" priority="7" dxfId="0" operator="lessThan">
      <formula>0</formula>
    </cfRule>
  </conditionalFormatting>
  <conditionalFormatting sqref="J282:J284 C282:D284">
    <cfRule type="cellIs" priority="5" dxfId="0" operator="lessThan">
      <formula>0</formula>
    </cfRule>
  </conditionalFormatting>
  <conditionalFormatting sqref="J292 C292:D292">
    <cfRule type="cellIs" priority="4" dxfId="0" operator="lessThan">
      <formula>0</formula>
    </cfRule>
  </conditionalFormatting>
  <conditionalFormatting sqref="J300 C300:D300">
    <cfRule type="cellIs" priority="3" dxfId="0" operator="lessThan">
      <formula>0</formula>
    </cfRule>
  </conditionalFormatting>
  <conditionalFormatting sqref="C315:D315 J315">
    <cfRule type="cellIs" priority="2" dxfId="0" operator="lessThan">
      <formula>0</formula>
    </cfRule>
  </conditionalFormatting>
  <conditionalFormatting sqref="J301:J303 C301:D303">
    <cfRule type="cellIs" priority="1" dxfId="0" operator="lessThan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L164"/>
  <sheetViews>
    <sheetView workbookViewId="0" topLeftCell="A1">
      <pane ySplit="2" topLeftCell="A3" activePane="bottomLeft" state="frozen"/>
      <selection pane="bottomLeft" activeCell="I23" sqref="I23:I24"/>
    </sheetView>
  </sheetViews>
  <sheetFormatPr defaultColWidth="8.8515625" defaultRowHeight="15"/>
  <cols>
    <col min="1" max="1" width="4.7109375" style="114" customWidth="1"/>
    <col min="2" max="2" width="5.00390625" style="114" customWidth="1"/>
    <col min="3" max="3" width="11.00390625" style="114" customWidth="1"/>
    <col min="4" max="4" width="6.140625" style="114" customWidth="1"/>
    <col min="5" max="5" width="6.7109375" style="114" customWidth="1"/>
    <col min="6" max="6" width="6.8515625" style="114" customWidth="1"/>
    <col min="7" max="7" width="6.7109375" style="114" customWidth="1"/>
    <col min="8" max="8" width="7.28125" style="117" customWidth="1"/>
    <col min="9" max="9" width="7.7109375" style="114" customWidth="1"/>
    <col min="10" max="10" width="7.7109375" style="117" customWidth="1"/>
    <col min="11" max="11" width="91.7109375" style="111" customWidth="1"/>
    <col min="12" max="12" width="8.421875" style="114" customWidth="1"/>
    <col min="13" max="16384" width="8.8515625" style="114" customWidth="1"/>
  </cols>
  <sheetData>
    <row r="1" spans="1:12" ht="28.9" customHeight="1">
      <c r="A1" s="389" t="s">
        <v>460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s="167" customFormat="1" ht="15">
      <c r="A2" s="161" t="s">
        <v>461</v>
      </c>
      <c r="B2" s="162" t="s">
        <v>462</v>
      </c>
      <c r="C2" s="161" t="s">
        <v>463</v>
      </c>
      <c r="D2" s="162" t="s">
        <v>464</v>
      </c>
      <c r="E2" s="163" t="s">
        <v>465</v>
      </c>
      <c r="F2" s="163" t="s">
        <v>466</v>
      </c>
      <c r="G2" s="163" t="s">
        <v>467</v>
      </c>
      <c r="H2" s="164" t="s">
        <v>2</v>
      </c>
      <c r="I2" s="163" t="s">
        <v>468</v>
      </c>
      <c r="J2" s="164" t="s">
        <v>469</v>
      </c>
      <c r="K2" s="165" t="s">
        <v>470</v>
      </c>
      <c r="L2" s="166" t="s">
        <v>471</v>
      </c>
    </row>
    <row r="3" spans="1:12" ht="15">
      <c r="A3" s="168">
        <v>1</v>
      </c>
      <c r="B3" s="114" t="str">
        <f aca="true" t="shared" si="0" ref="B3:B93">TEXT(C3,"ddd")</f>
        <v>Mon</v>
      </c>
      <c r="C3" s="115">
        <v>42009</v>
      </c>
      <c r="D3" s="169">
        <v>0.3020833333333333</v>
      </c>
      <c r="E3" s="114" t="s">
        <v>40</v>
      </c>
      <c r="F3" s="114" t="s">
        <v>472</v>
      </c>
      <c r="G3" s="114">
        <v>75</v>
      </c>
      <c r="H3" s="117">
        <v>192</v>
      </c>
      <c r="I3" s="29">
        <f>G3*H3+11</f>
        <v>14411</v>
      </c>
      <c r="J3" s="117">
        <v>191.75</v>
      </c>
      <c r="K3" s="111" t="s">
        <v>473</v>
      </c>
      <c r="L3" s="170" t="s">
        <v>42</v>
      </c>
    </row>
    <row r="4" spans="1:12" ht="15">
      <c r="A4" s="168">
        <v>2</v>
      </c>
      <c r="B4" s="114" t="str">
        <f t="shared" si="0"/>
        <v>Tue</v>
      </c>
      <c r="C4" s="115">
        <v>42010</v>
      </c>
      <c r="D4" s="169">
        <v>0.4479166666666667</v>
      </c>
      <c r="E4" s="114" t="s">
        <v>92</v>
      </c>
      <c r="F4" s="114" t="s">
        <v>472</v>
      </c>
      <c r="G4" s="114">
        <v>130</v>
      </c>
      <c r="H4" s="117">
        <v>111.9</v>
      </c>
      <c r="I4" s="29">
        <f aca="true" t="shared" si="1" ref="I4:I93">G4*H4+11</f>
        <v>14558</v>
      </c>
      <c r="J4" s="117">
        <v>113.6</v>
      </c>
      <c r="K4" s="111" t="s">
        <v>474</v>
      </c>
      <c r="L4" s="171" t="s">
        <v>30</v>
      </c>
    </row>
    <row r="5" spans="1:12" ht="15">
      <c r="A5" s="168">
        <v>3</v>
      </c>
      <c r="B5" s="114" t="str">
        <f t="shared" si="0"/>
        <v>Wed</v>
      </c>
      <c r="C5" s="115">
        <v>42011</v>
      </c>
      <c r="D5" s="169">
        <v>0.27291666666666664</v>
      </c>
      <c r="E5" s="114" t="s">
        <v>64</v>
      </c>
      <c r="F5" s="114" t="s">
        <v>472</v>
      </c>
      <c r="G5" s="114">
        <v>200</v>
      </c>
      <c r="H5" s="117">
        <v>70.7</v>
      </c>
      <c r="I5" s="29">
        <f t="shared" si="1"/>
        <v>14151</v>
      </c>
      <c r="J5" s="117">
        <v>70</v>
      </c>
      <c r="L5" s="171" t="s">
        <v>30</v>
      </c>
    </row>
    <row r="6" spans="1:12" ht="15">
      <c r="A6" s="168">
        <v>4</v>
      </c>
      <c r="B6" s="114" t="str">
        <f t="shared" si="0"/>
        <v>Wed</v>
      </c>
      <c r="C6" s="115">
        <v>42011</v>
      </c>
      <c r="D6" s="169">
        <v>0.2777777777777778</v>
      </c>
      <c r="E6" s="114" t="s">
        <v>39</v>
      </c>
      <c r="F6" s="114" t="s">
        <v>472</v>
      </c>
      <c r="G6" s="114">
        <v>260</v>
      </c>
      <c r="H6" s="117">
        <v>55</v>
      </c>
      <c r="I6" s="29">
        <f t="shared" si="1"/>
        <v>14311</v>
      </c>
      <c r="J6" s="117">
        <v>55.3</v>
      </c>
      <c r="L6" s="171" t="s">
        <v>30</v>
      </c>
    </row>
    <row r="7" spans="1:12" ht="15">
      <c r="A7" s="168">
        <v>5</v>
      </c>
      <c r="B7" s="114" t="str">
        <f t="shared" si="0"/>
        <v>Wed</v>
      </c>
      <c r="C7" s="115">
        <v>42011</v>
      </c>
      <c r="D7" s="169">
        <v>0.3048611111111111</v>
      </c>
      <c r="E7" s="114" t="s">
        <v>80</v>
      </c>
      <c r="F7" s="114" t="s">
        <v>472</v>
      </c>
      <c r="G7" s="114">
        <v>250</v>
      </c>
      <c r="H7" s="117">
        <v>58.02</v>
      </c>
      <c r="I7" s="29">
        <f t="shared" si="1"/>
        <v>14516</v>
      </c>
      <c r="J7" s="117">
        <v>57.7</v>
      </c>
      <c r="L7" s="171" t="s">
        <v>30</v>
      </c>
    </row>
    <row r="8" spans="1:12" ht="15">
      <c r="A8" s="168">
        <v>6</v>
      </c>
      <c r="B8" s="114" t="str">
        <f t="shared" si="0"/>
        <v>Wed</v>
      </c>
      <c r="C8" s="115">
        <v>42011</v>
      </c>
      <c r="D8" s="169">
        <v>0.3430555555555555</v>
      </c>
      <c r="E8" s="114" t="s">
        <v>92</v>
      </c>
      <c r="F8" s="114" t="s">
        <v>475</v>
      </c>
      <c r="G8" s="114">
        <v>75</v>
      </c>
      <c r="H8" s="117">
        <v>114.4</v>
      </c>
      <c r="I8" s="29">
        <f t="shared" si="1"/>
        <v>8591</v>
      </c>
      <c r="J8" s="117">
        <v>113.6</v>
      </c>
      <c r="K8" s="111" t="s">
        <v>476</v>
      </c>
      <c r="L8" s="171" t="s">
        <v>30</v>
      </c>
    </row>
    <row r="9" spans="1:12" ht="15">
      <c r="A9" s="168">
        <v>7</v>
      </c>
      <c r="B9" s="114" t="str">
        <f t="shared" si="0"/>
        <v>Wed</v>
      </c>
      <c r="C9" s="115">
        <v>42011</v>
      </c>
      <c r="D9" s="169">
        <v>0.4069444444444445</v>
      </c>
      <c r="E9" s="114" t="s">
        <v>80</v>
      </c>
      <c r="F9" s="114" t="s">
        <v>475</v>
      </c>
      <c r="G9" s="114">
        <v>150</v>
      </c>
      <c r="H9" s="117">
        <v>59.16</v>
      </c>
      <c r="I9" s="29">
        <f t="shared" si="1"/>
        <v>8885</v>
      </c>
      <c r="J9" s="117">
        <v>59.1</v>
      </c>
      <c r="L9" s="171" t="s">
        <v>30</v>
      </c>
    </row>
    <row r="10" spans="1:12" ht="15">
      <c r="A10" s="168">
        <v>8</v>
      </c>
      <c r="B10" s="114" t="str">
        <f t="shared" si="0"/>
        <v>Wed</v>
      </c>
      <c r="C10" s="115">
        <v>42011</v>
      </c>
      <c r="D10" s="169">
        <v>0.4270833333333333</v>
      </c>
      <c r="E10" s="114" t="s">
        <v>40</v>
      </c>
      <c r="F10" s="114" t="s">
        <v>475</v>
      </c>
      <c r="G10" s="114">
        <v>45</v>
      </c>
      <c r="H10" s="117">
        <v>197</v>
      </c>
      <c r="I10" s="29">
        <f t="shared" si="1"/>
        <v>8876</v>
      </c>
      <c r="J10" s="117">
        <v>196.53</v>
      </c>
      <c r="L10" s="171" t="s">
        <v>30</v>
      </c>
    </row>
    <row r="11" spans="1:12" ht="15">
      <c r="A11" s="168">
        <v>9</v>
      </c>
      <c r="B11" s="114" t="str">
        <f t="shared" si="0"/>
        <v>Wed</v>
      </c>
      <c r="C11" s="115">
        <v>42011</v>
      </c>
      <c r="D11" s="169">
        <v>0.48333333333333334</v>
      </c>
      <c r="E11" s="114" t="s">
        <v>39</v>
      </c>
      <c r="F11" s="114" t="s">
        <v>475</v>
      </c>
      <c r="G11" s="114">
        <v>150</v>
      </c>
      <c r="H11" s="117">
        <v>56.8</v>
      </c>
      <c r="I11" s="29">
        <f t="shared" si="1"/>
        <v>8531</v>
      </c>
      <c r="J11" s="117">
        <v>56.6</v>
      </c>
      <c r="L11" s="171" t="s">
        <v>30</v>
      </c>
    </row>
    <row r="12" spans="1:12" ht="15">
      <c r="A12" s="168">
        <v>10</v>
      </c>
      <c r="B12" s="114" t="str">
        <f t="shared" si="0"/>
        <v>Wed</v>
      </c>
      <c r="C12" s="115">
        <v>42011</v>
      </c>
      <c r="D12" s="169">
        <v>0.4875</v>
      </c>
      <c r="E12" s="114" t="s">
        <v>39</v>
      </c>
      <c r="F12" s="114" t="s">
        <v>477</v>
      </c>
      <c r="G12" s="114">
        <v>100</v>
      </c>
      <c r="H12" s="117">
        <v>57.68</v>
      </c>
      <c r="I12" s="29">
        <f t="shared" si="1"/>
        <v>5779</v>
      </c>
      <c r="J12" s="117">
        <v>57.5</v>
      </c>
      <c r="L12" s="171" t="s">
        <v>30</v>
      </c>
    </row>
    <row r="13" spans="1:12" ht="15">
      <c r="A13" s="168">
        <v>11</v>
      </c>
      <c r="B13" s="114" t="str">
        <f t="shared" si="0"/>
        <v>Wed</v>
      </c>
      <c r="C13" s="115">
        <v>42011</v>
      </c>
      <c r="D13" s="169">
        <v>0.5055555555555555</v>
      </c>
      <c r="E13" s="114" t="s">
        <v>50</v>
      </c>
      <c r="F13" s="114" t="s">
        <v>472</v>
      </c>
      <c r="G13" s="114">
        <v>20</v>
      </c>
      <c r="H13" s="117">
        <v>691</v>
      </c>
      <c r="I13" s="29">
        <f t="shared" si="1"/>
        <v>13831</v>
      </c>
      <c r="J13" s="117">
        <v>696.66</v>
      </c>
      <c r="K13" s="111" t="s">
        <v>478</v>
      </c>
      <c r="L13" s="171" t="s">
        <v>30</v>
      </c>
    </row>
    <row r="14" spans="1:12" ht="15">
      <c r="A14" s="168">
        <v>12</v>
      </c>
      <c r="B14" s="114" t="str">
        <f t="shared" si="0"/>
        <v>Thu</v>
      </c>
      <c r="C14" s="115">
        <v>42012</v>
      </c>
      <c r="D14" s="169">
        <v>0.27291666666666664</v>
      </c>
      <c r="E14" s="114" t="s">
        <v>50</v>
      </c>
      <c r="F14" s="114" t="s">
        <v>475</v>
      </c>
      <c r="G14" s="114">
        <v>12</v>
      </c>
      <c r="H14" s="117">
        <v>707.47</v>
      </c>
      <c r="I14" s="29">
        <f t="shared" si="1"/>
        <v>8500.64</v>
      </c>
      <c r="J14" s="117">
        <v>708</v>
      </c>
      <c r="L14" s="171" t="s">
        <v>30</v>
      </c>
    </row>
    <row r="15" spans="1:12" ht="15">
      <c r="A15" s="168">
        <v>13</v>
      </c>
      <c r="B15" s="114" t="str">
        <f t="shared" si="0"/>
        <v>Thu</v>
      </c>
      <c r="C15" s="115">
        <v>42012</v>
      </c>
      <c r="D15" s="169">
        <v>0.27569444444444446</v>
      </c>
      <c r="E15" s="114" t="s">
        <v>60</v>
      </c>
      <c r="F15" s="114" t="s">
        <v>472</v>
      </c>
      <c r="G15" s="114">
        <v>190</v>
      </c>
      <c r="H15" s="117">
        <v>76</v>
      </c>
      <c r="I15" s="29">
        <f t="shared" si="1"/>
        <v>14451</v>
      </c>
      <c r="J15" s="117">
        <v>77.8</v>
      </c>
      <c r="K15" s="111" t="s">
        <v>479</v>
      </c>
      <c r="L15" s="171" t="s">
        <v>30</v>
      </c>
    </row>
    <row r="16" spans="1:12" ht="15">
      <c r="A16" s="168">
        <v>14</v>
      </c>
      <c r="B16" s="114" t="str">
        <f t="shared" si="0"/>
        <v>Thu</v>
      </c>
      <c r="C16" s="115">
        <v>42012</v>
      </c>
      <c r="D16" s="169">
        <v>0.27847222222222223</v>
      </c>
      <c r="E16" s="114" t="s">
        <v>79</v>
      </c>
      <c r="F16" s="114" t="s">
        <v>475</v>
      </c>
      <c r="G16" s="114">
        <v>120</v>
      </c>
      <c r="H16" s="117">
        <v>72.34</v>
      </c>
      <c r="I16" s="29">
        <f t="shared" si="1"/>
        <v>8691.800000000001</v>
      </c>
      <c r="J16" s="117">
        <v>72.5</v>
      </c>
      <c r="L16" s="171" t="s">
        <v>30</v>
      </c>
    </row>
    <row r="17" spans="1:12" ht="15">
      <c r="A17" s="168">
        <v>15</v>
      </c>
      <c r="B17" s="114" t="str">
        <f t="shared" si="0"/>
        <v>Thu</v>
      </c>
      <c r="C17" s="115">
        <v>42012</v>
      </c>
      <c r="D17" s="169">
        <v>0.2847222222222222</v>
      </c>
      <c r="E17" s="114" t="s">
        <v>50</v>
      </c>
      <c r="F17" s="114" t="s">
        <v>477</v>
      </c>
      <c r="G17" s="114">
        <v>8</v>
      </c>
      <c r="H17" s="117">
        <v>722.5</v>
      </c>
      <c r="I17" s="29">
        <f t="shared" si="1"/>
        <v>5791</v>
      </c>
      <c r="J17" s="117">
        <v>722</v>
      </c>
      <c r="L17" s="171" t="s">
        <v>30</v>
      </c>
    </row>
    <row r="18" spans="1:12" ht="15">
      <c r="A18" s="168">
        <v>16</v>
      </c>
      <c r="B18" s="114" t="str">
        <f t="shared" si="0"/>
        <v>Thu</v>
      </c>
      <c r="C18" s="115">
        <v>42012</v>
      </c>
      <c r="D18" s="169">
        <v>0.29305555555555557</v>
      </c>
      <c r="E18" s="114" t="s">
        <v>80</v>
      </c>
      <c r="F18" s="114" t="s">
        <v>477</v>
      </c>
      <c r="G18" s="114">
        <v>100</v>
      </c>
      <c r="H18" s="117">
        <v>60.3</v>
      </c>
      <c r="I18" s="29">
        <f t="shared" si="1"/>
        <v>6041</v>
      </c>
      <c r="J18" s="117">
        <v>60.3</v>
      </c>
      <c r="L18" s="171" t="s">
        <v>30</v>
      </c>
    </row>
    <row r="19" spans="1:12" ht="15">
      <c r="A19" s="168">
        <v>17</v>
      </c>
      <c r="B19" s="114" t="str">
        <f t="shared" si="0"/>
        <v>Thu</v>
      </c>
      <c r="C19" s="115">
        <v>42012</v>
      </c>
      <c r="D19" s="169">
        <v>0.3951388888888889</v>
      </c>
      <c r="E19" s="114" t="s">
        <v>92</v>
      </c>
      <c r="F19" s="114" t="s">
        <v>477</v>
      </c>
      <c r="G19" s="114">
        <v>50</v>
      </c>
      <c r="H19" s="117">
        <v>117.75</v>
      </c>
      <c r="I19" s="29">
        <f t="shared" si="1"/>
        <v>5898.5</v>
      </c>
      <c r="J19" s="117">
        <v>117</v>
      </c>
      <c r="L19" s="171" t="s">
        <v>30</v>
      </c>
    </row>
    <row r="20" spans="1:12" ht="15">
      <c r="A20" s="168">
        <v>18</v>
      </c>
      <c r="B20" s="114" t="str">
        <f t="shared" si="0"/>
        <v>Thu</v>
      </c>
      <c r="C20" s="115">
        <v>42012</v>
      </c>
      <c r="D20" s="169">
        <v>0.5208333333333334</v>
      </c>
      <c r="E20" s="114" t="s">
        <v>60</v>
      </c>
      <c r="F20" s="114" t="s">
        <v>475</v>
      </c>
      <c r="G20" s="114">
        <v>110</v>
      </c>
      <c r="H20" s="117">
        <v>78</v>
      </c>
      <c r="I20" s="29">
        <f t="shared" si="1"/>
        <v>8591</v>
      </c>
      <c r="J20" s="117">
        <v>77.9</v>
      </c>
      <c r="L20" s="171" t="s">
        <v>30</v>
      </c>
    </row>
    <row r="21" spans="1:12" ht="15.75" thickBot="1">
      <c r="A21" s="172">
        <v>19</v>
      </c>
      <c r="B21" s="173" t="str">
        <f t="shared" si="0"/>
        <v>Fri</v>
      </c>
      <c r="C21" s="174">
        <v>42013</v>
      </c>
      <c r="D21" s="175">
        <v>0.2743055555555555</v>
      </c>
      <c r="E21" s="173" t="s">
        <v>60</v>
      </c>
      <c r="F21" s="173" t="s">
        <v>477</v>
      </c>
      <c r="G21" s="173">
        <v>70</v>
      </c>
      <c r="H21" s="176">
        <v>79.2</v>
      </c>
      <c r="I21" s="177">
        <f t="shared" si="1"/>
        <v>5555</v>
      </c>
      <c r="J21" s="176">
        <v>79.4</v>
      </c>
      <c r="K21" s="178"/>
      <c r="L21" s="179" t="s">
        <v>41</v>
      </c>
    </row>
    <row r="22" spans="1:12" ht="15">
      <c r="A22" s="168">
        <v>20</v>
      </c>
      <c r="B22" s="114" t="str">
        <f t="shared" si="0"/>
        <v>Tue</v>
      </c>
      <c r="C22" s="115">
        <v>42017</v>
      </c>
      <c r="D22" s="169">
        <v>0.27847222222222223</v>
      </c>
      <c r="E22" s="114" t="s">
        <v>73</v>
      </c>
      <c r="F22" s="114" t="s">
        <v>472</v>
      </c>
      <c r="G22" s="114">
        <v>680</v>
      </c>
      <c r="H22" s="117">
        <v>21.2</v>
      </c>
      <c r="I22" s="29">
        <f t="shared" si="1"/>
        <v>14427</v>
      </c>
      <c r="J22" s="117">
        <v>21.24</v>
      </c>
      <c r="L22" s="180" t="s">
        <v>41</v>
      </c>
    </row>
    <row r="23" spans="1:12" ht="15">
      <c r="A23" s="181">
        <v>21</v>
      </c>
      <c r="B23" s="114" t="str">
        <f t="shared" si="0"/>
        <v>Tue</v>
      </c>
      <c r="C23" s="115">
        <v>42017</v>
      </c>
      <c r="D23" s="169">
        <v>0.32430555555555557</v>
      </c>
      <c r="E23" s="114" t="s">
        <v>40</v>
      </c>
      <c r="F23" s="114" t="s">
        <v>480</v>
      </c>
      <c r="G23" s="114">
        <v>120</v>
      </c>
      <c r="H23" s="117">
        <v>118.32</v>
      </c>
      <c r="I23" s="76">
        <f t="shared" si="1"/>
        <v>14209.4</v>
      </c>
      <c r="K23" s="111" t="s">
        <v>481</v>
      </c>
      <c r="L23" s="180" t="s">
        <v>41</v>
      </c>
    </row>
    <row r="24" spans="1:12" ht="15">
      <c r="A24" s="181">
        <v>22</v>
      </c>
      <c r="B24" s="114" t="str">
        <f t="shared" si="0"/>
        <v>Thu</v>
      </c>
      <c r="C24" s="115">
        <v>42019</v>
      </c>
      <c r="D24" s="169">
        <v>0.5368055555555555</v>
      </c>
      <c r="E24" s="114" t="s">
        <v>39</v>
      </c>
      <c r="F24" s="114" t="s">
        <v>480</v>
      </c>
      <c r="G24" s="114">
        <v>510</v>
      </c>
      <c r="H24" s="117">
        <v>53.71</v>
      </c>
      <c r="I24" s="76">
        <f t="shared" si="1"/>
        <v>27403.100000000002</v>
      </c>
      <c r="K24" s="111" t="s">
        <v>482</v>
      </c>
      <c r="L24" s="180" t="s">
        <v>41</v>
      </c>
    </row>
    <row r="25" spans="1:12" ht="15">
      <c r="A25" s="182">
        <v>23</v>
      </c>
      <c r="B25" s="183" t="str">
        <f t="shared" si="0"/>
        <v>Fri</v>
      </c>
      <c r="C25" s="184">
        <v>42020</v>
      </c>
      <c r="D25" s="185">
        <v>0.27291666666666664</v>
      </c>
      <c r="E25" s="183" t="s">
        <v>58</v>
      </c>
      <c r="F25" s="183" t="s">
        <v>472</v>
      </c>
      <c r="G25" s="183">
        <v>350</v>
      </c>
      <c r="H25" s="186">
        <v>40.8</v>
      </c>
      <c r="I25" s="187">
        <f t="shared" si="1"/>
        <v>14290.999999999998</v>
      </c>
      <c r="J25" s="186">
        <v>40.5</v>
      </c>
      <c r="K25" s="188" t="s">
        <v>483</v>
      </c>
      <c r="L25" s="170" t="s">
        <v>42</v>
      </c>
    </row>
    <row r="26" spans="1:12" ht="15.75" thickBot="1">
      <c r="A26" s="172">
        <v>23</v>
      </c>
      <c r="B26" s="173" t="str">
        <f t="shared" si="0"/>
        <v>Fri</v>
      </c>
      <c r="C26" s="174">
        <v>42020</v>
      </c>
      <c r="D26" s="175">
        <v>0.5375</v>
      </c>
      <c r="E26" s="173" t="s">
        <v>73</v>
      </c>
      <c r="F26" s="173" t="s">
        <v>475</v>
      </c>
      <c r="G26" s="173">
        <v>400</v>
      </c>
      <c r="H26" s="176">
        <v>21.73</v>
      </c>
      <c r="I26" s="177">
        <f t="shared" si="1"/>
        <v>8703</v>
      </c>
      <c r="J26" s="176">
        <v>71.73</v>
      </c>
      <c r="K26" s="178"/>
      <c r="L26" s="189" t="s">
        <v>42</v>
      </c>
    </row>
    <row r="27" spans="1:12" ht="15">
      <c r="A27" s="168">
        <v>24</v>
      </c>
      <c r="B27" s="114" t="str">
        <f t="shared" si="0"/>
        <v>Tue</v>
      </c>
      <c r="C27" s="115">
        <v>42024</v>
      </c>
      <c r="D27" s="169">
        <v>0.27291666666666664</v>
      </c>
      <c r="E27" s="114" t="s">
        <v>64</v>
      </c>
      <c r="F27" s="114" t="s">
        <v>477</v>
      </c>
      <c r="G27" s="114">
        <v>80</v>
      </c>
      <c r="H27" s="117">
        <v>75.2</v>
      </c>
      <c r="I27" s="29">
        <f t="shared" si="1"/>
        <v>6027</v>
      </c>
      <c r="J27" s="117">
        <v>74.8</v>
      </c>
      <c r="K27" s="111" t="s">
        <v>484</v>
      </c>
      <c r="L27" s="170" t="s">
        <v>42</v>
      </c>
    </row>
    <row r="28" spans="1:12" ht="15">
      <c r="A28" s="168">
        <v>25</v>
      </c>
      <c r="B28" s="114" t="str">
        <f t="shared" si="0"/>
        <v>Tue</v>
      </c>
      <c r="C28" s="115">
        <v>42024</v>
      </c>
      <c r="D28" s="169">
        <v>0.3548611111111111</v>
      </c>
      <c r="E28" s="114" t="s">
        <v>58</v>
      </c>
      <c r="F28" s="114" t="s">
        <v>475</v>
      </c>
      <c r="G28" s="114">
        <v>200</v>
      </c>
      <c r="H28" s="117">
        <v>42.9</v>
      </c>
      <c r="I28" s="29">
        <f t="shared" si="1"/>
        <v>8591</v>
      </c>
      <c r="J28" s="117">
        <v>42.64</v>
      </c>
      <c r="K28" s="111" t="s">
        <v>485</v>
      </c>
      <c r="L28" s="170" t="s">
        <v>42</v>
      </c>
    </row>
    <row r="29" spans="1:12" ht="15.75" thickBot="1">
      <c r="A29" s="172">
        <v>26</v>
      </c>
      <c r="B29" s="173" t="str">
        <f t="shared" si="0"/>
        <v>Tue</v>
      </c>
      <c r="C29" s="174">
        <v>42024</v>
      </c>
      <c r="D29" s="175">
        <v>0.3979166666666667</v>
      </c>
      <c r="E29" s="173" t="s">
        <v>73</v>
      </c>
      <c r="F29" s="173" t="s">
        <v>477</v>
      </c>
      <c r="G29" s="173">
        <v>260</v>
      </c>
      <c r="H29" s="176">
        <v>22.2</v>
      </c>
      <c r="I29" s="177">
        <f t="shared" si="1"/>
        <v>5783</v>
      </c>
      <c r="J29" s="176">
        <v>22.15</v>
      </c>
      <c r="K29" s="178"/>
      <c r="L29" s="189" t="s">
        <v>42</v>
      </c>
    </row>
    <row r="30" spans="1:12" ht="15">
      <c r="A30" s="190">
        <v>27</v>
      </c>
      <c r="B30" s="191" t="str">
        <f t="shared" si="0"/>
        <v>Tue</v>
      </c>
      <c r="C30" s="115">
        <v>42038</v>
      </c>
      <c r="D30" s="169">
        <v>0.5604166666666667</v>
      </c>
      <c r="E30" s="191" t="s">
        <v>50</v>
      </c>
      <c r="F30" s="191" t="s">
        <v>480</v>
      </c>
      <c r="G30" s="191">
        <v>40</v>
      </c>
      <c r="H30" s="117">
        <v>683.5</v>
      </c>
      <c r="I30" s="187">
        <f t="shared" si="1"/>
        <v>27351</v>
      </c>
      <c r="K30" s="111" t="s">
        <v>486</v>
      </c>
      <c r="L30" s="170" t="s">
        <v>42</v>
      </c>
    </row>
    <row r="31" spans="1:12" ht="15">
      <c r="A31" s="192">
        <v>28</v>
      </c>
      <c r="B31" s="191" t="str">
        <f t="shared" si="0"/>
        <v>Wed</v>
      </c>
      <c r="C31" s="115">
        <v>42039</v>
      </c>
      <c r="D31" s="169">
        <v>0.33749999999999997</v>
      </c>
      <c r="E31" s="191" t="s">
        <v>58</v>
      </c>
      <c r="F31" s="191" t="s">
        <v>477</v>
      </c>
      <c r="G31" s="191">
        <v>130</v>
      </c>
      <c r="H31" s="117">
        <v>43.9</v>
      </c>
      <c r="I31" s="187">
        <f t="shared" si="1"/>
        <v>5718</v>
      </c>
      <c r="J31" s="117">
        <v>44.2</v>
      </c>
      <c r="K31" s="111" t="s">
        <v>487</v>
      </c>
      <c r="L31" s="170" t="s">
        <v>42</v>
      </c>
    </row>
    <row r="32" spans="1:12" ht="15.75" thickBot="1">
      <c r="A32" s="172">
        <v>29</v>
      </c>
      <c r="B32" s="193" t="str">
        <f t="shared" si="0"/>
        <v>Thu</v>
      </c>
      <c r="C32" s="174">
        <v>42040</v>
      </c>
      <c r="D32" s="175">
        <v>0.27847222222222223</v>
      </c>
      <c r="E32" s="193" t="s">
        <v>61</v>
      </c>
      <c r="F32" s="193" t="s">
        <v>472</v>
      </c>
      <c r="G32" s="193">
        <v>110</v>
      </c>
      <c r="H32" s="176">
        <v>132.85</v>
      </c>
      <c r="I32" s="194">
        <f t="shared" si="1"/>
        <v>14624.5</v>
      </c>
      <c r="J32" s="176">
        <v>132.7</v>
      </c>
      <c r="K32" s="178" t="s">
        <v>488</v>
      </c>
      <c r="L32" s="189" t="s">
        <v>42</v>
      </c>
    </row>
    <row r="33" spans="1:12" ht="15">
      <c r="A33" s="168">
        <v>30</v>
      </c>
      <c r="B33" s="191" t="str">
        <f t="shared" si="0"/>
        <v>Tue</v>
      </c>
      <c r="C33" s="115">
        <v>42045</v>
      </c>
      <c r="D33" s="169">
        <v>0.27291666666666664</v>
      </c>
      <c r="E33" s="191" t="s">
        <v>61</v>
      </c>
      <c r="F33" s="191" t="s">
        <v>475</v>
      </c>
      <c r="G33" s="191">
        <v>65</v>
      </c>
      <c r="H33" s="117">
        <v>135.9</v>
      </c>
      <c r="I33" s="187">
        <f t="shared" si="1"/>
        <v>8844.5</v>
      </c>
      <c r="J33" s="117">
        <v>136</v>
      </c>
      <c r="L33" s="170" t="s">
        <v>42</v>
      </c>
    </row>
    <row r="34" spans="1:12" ht="15">
      <c r="A34" s="168">
        <v>31</v>
      </c>
      <c r="B34" s="191" t="str">
        <f t="shared" si="0"/>
        <v>Wed</v>
      </c>
      <c r="C34" s="115">
        <v>42046</v>
      </c>
      <c r="D34" s="169">
        <v>0.2736111111111111</v>
      </c>
      <c r="E34" s="191" t="s">
        <v>52</v>
      </c>
      <c r="F34" s="191" t="s">
        <v>472</v>
      </c>
      <c r="G34" s="191">
        <v>80</v>
      </c>
      <c r="H34" s="117">
        <v>129.75</v>
      </c>
      <c r="I34" s="187">
        <f t="shared" si="1"/>
        <v>10391</v>
      </c>
      <c r="J34" s="117">
        <v>130.1</v>
      </c>
      <c r="K34" s="111" t="s">
        <v>489</v>
      </c>
      <c r="L34" s="195" t="s">
        <v>41</v>
      </c>
    </row>
    <row r="35" spans="1:12" ht="15">
      <c r="A35" s="182">
        <v>32</v>
      </c>
      <c r="B35" s="191" t="str">
        <f t="shared" si="0"/>
        <v>Thu</v>
      </c>
      <c r="C35" s="184">
        <v>42047</v>
      </c>
      <c r="D35" s="185">
        <v>0.27152777777777776</v>
      </c>
      <c r="E35" s="191" t="s">
        <v>80</v>
      </c>
      <c r="F35" s="191" t="s">
        <v>490</v>
      </c>
      <c r="G35" s="191">
        <v>100</v>
      </c>
      <c r="H35" s="186">
        <v>64.65</v>
      </c>
      <c r="I35" s="187">
        <f t="shared" si="1"/>
        <v>6476.000000000001</v>
      </c>
      <c r="J35" s="186"/>
      <c r="K35" s="188" t="s">
        <v>491</v>
      </c>
      <c r="L35" s="195" t="s">
        <v>41</v>
      </c>
    </row>
    <row r="36" spans="1:12" ht="15">
      <c r="A36" s="168">
        <v>33</v>
      </c>
      <c r="B36" s="191" t="str">
        <f t="shared" si="0"/>
        <v>Thu</v>
      </c>
      <c r="C36" s="115">
        <v>42047</v>
      </c>
      <c r="D36" s="169">
        <v>0.27499999999999997</v>
      </c>
      <c r="E36" s="191" t="s">
        <v>52</v>
      </c>
      <c r="F36" s="191" t="s">
        <v>475</v>
      </c>
      <c r="G36" s="191">
        <v>45</v>
      </c>
      <c r="H36" s="117">
        <v>133.95</v>
      </c>
      <c r="I36" s="187">
        <f t="shared" si="1"/>
        <v>6038.749999999999</v>
      </c>
      <c r="J36" s="117">
        <v>133.25</v>
      </c>
      <c r="K36" s="111" t="s">
        <v>492</v>
      </c>
      <c r="L36" s="195" t="s">
        <v>41</v>
      </c>
    </row>
    <row r="37" spans="1:12" ht="15.75" thickBot="1">
      <c r="A37" s="172">
        <v>34</v>
      </c>
      <c r="B37" s="193" t="str">
        <f t="shared" si="0"/>
        <v>Fri</v>
      </c>
      <c r="C37" s="174">
        <v>42048</v>
      </c>
      <c r="D37" s="175">
        <v>0.45069444444444445</v>
      </c>
      <c r="E37" s="193" t="s">
        <v>52</v>
      </c>
      <c r="F37" s="193" t="s">
        <v>477</v>
      </c>
      <c r="G37" s="193">
        <v>30</v>
      </c>
      <c r="H37" s="176">
        <v>135.8</v>
      </c>
      <c r="I37" s="194">
        <f t="shared" si="1"/>
        <v>4085.0000000000005</v>
      </c>
      <c r="J37" s="176">
        <v>135.6</v>
      </c>
      <c r="K37" s="178"/>
      <c r="L37" s="179" t="s">
        <v>41</v>
      </c>
    </row>
    <row r="38" spans="1:12" ht="15">
      <c r="A38" s="168">
        <v>35</v>
      </c>
      <c r="B38" s="191" t="str">
        <f t="shared" si="0"/>
        <v>Tue</v>
      </c>
      <c r="C38" s="115">
        <v>42052</v>
      </c>
      <c r="D38" s="169">
        <v>0.27708333333333335</v>
      </c>
      <c r="E38" s="191" t="s">
        <v>64</v>
      </c>
      <c r="F38" s="191" t="s">
        <v>490</v>
      </c>
      <c r="G38" s="191">
        <v>80</v>
      </c>
      <c r="H38" s="117">
        <v>81.6</v>
      </c>
      <c r="I38" s="187">
        <f t="shared" si="1"/>
        <v>6539</v>
      </c>
      <c r="J38" s="117">
        <v>81.5</v>
      </c>
      <c r="K38" s="111" t="s">
        <v>493</v>
      </c>
      <c r="L38" s="195" t="s">
        <v>41</v>
      </c>
    </row>
    <row r="39" spans="1:12" ht="15.75" thickBot="1">
      <c r="A39" s="172">
        <v>36</v>
      </c>
      <c r="B39" s="193" t="str">
        <f t="shared" si="0"/>
        <v>Thu</v>
      </c>
      <c r="C39" s="174">
        <v>42054</v>
      </c>
      <c r="D39" s="175">
        <v>0.27708333333333335</v>
      </c>
      <c r="E39" s="193" t="s">
        <v>61</v>
      </c>
      <c r="F39" s="193" t="s">
        <v>477</v>
      </c>
      <c r="G39" s="193">
        <v>40</v>
      </c>
      <c r="H39" s="176">
        <v>139.17</v>
      </c>
      <c r="I39" s="194">
        <f t="shared" si="1"/>
        <v>5577.799999999999</v>
      </c>
      <c r="J39" s="176">
        <v>139</v>
      </c>
      <c r="K39" s="178"/>
      <c r="L39" s="179" t="s">
        <v>41</v>
      </c>
    </row>
    <row r="40" spans="1:12" ht="15">
      <c r="A40" s="168">
        <v>37</v>
      </c>
      <c r="B40" s="191" t="str">
        <f t="shared" si="0"/>
        <v>Mon</v>
      </c>
      <c r="C40" s="115">
        <v>42058</v>
      </c>
      <c r="D40" s="169">
        <v>0.2736111111111111</v>
      </c>
      <c r="E40" s="191" t="s">
        <v>64</v>
      </c>
      <c r="F40" s="191" t="s">
        <v>494</v>
      </c>
      <c r="G40" s="191">
        <v>100</v>
      </c>
      <c r="H40" s="117">
        <v>85.2</v>
      </c>
      <c r="I40" s="187">
        <f t="shared" si="1"/>
        <v>8531</v>
      </c>
      <c r="J40" s="117">
        <v>85.05</v>
      </c>
      <c r="K40" s="111" t="s">
        <v>495</v>
      </c>
      <c r="L40" s="195" t="s">
        <v>41</v>
      </c>
    </row>
    <row r="41" spans="1:12" ht="15">
      <c r="A41" s="182">
        <v>38</v>
      </c>
      <c r="B41" s="191" t="str">
        <f t="shared" si="0"/>
        <v>Thu</v>
      </c>
      <c r="C41" s="115">
        <v>42061</v>
      </c>
      <c r="D41" s="169">
        <v>0.2722222222222222</v>
      </c>
      <c r="E41" s="191" t="s">
        <v>73</v>
      </c>
      <c r="F41" s="191" t="s">
        <v>490</v>
      </c>
      <c r="G41" s="191">
        <v>260</v>
      </c>
      <c r="H41" s="117">
        <v>23.5</v>
      </c>
      <c r="I41" s="187">
        <f t="shared" si="1"/>
        <v>6121</v>
      </c>
      <c r="J41" s="117">
        <v>24.27</v>
      </c>
      <c r="K41" s="111" t="s">
        <v>496</v>
      </c>
      <c r="L41" s="195" t="s">
        <v>41</v>
      </c>
    </row>
    <row r="42" spans="1:12" ht="15">
      <c r="A42" s="182">
        <v>39</v>
      </c>
      <c r="B42" s="191" t="str">
        <f t="shared" si="0"/>
        <v>Thu</v>
      </c>
      <c r="C42" s="184">
        <v>42061</v>
      </c>
      <c r="D42" s="185">
        <v>0.5597222222222222</v>
      </c>
      <c r="E42" s="191" t="s">
        <v>92</v>
      </c>
      <c r="F42" s="191" t="s">
        <v>497</v>
      </c>
      <c r="G42" s="191">
        <v>50</v>
      </c>
      <c r="H42" s="186">
        <v>131.5</v>
      </c>
      <c r="I42" s="187">
        <f t="shared" si="1"/>
        <v>6586</v>
      </c>
      <c r="J42" s="186" t="s">
        <v>498</v>
      </c>
      <c r="K42" s="188" t="s">
        <v>499</v>
      </c>
      <c r="L42" s="195" t="s">
        <v>41</v>
      </c>
    </row>
    <row r="43" spans="1:12" ht="15.75" thickBot="1">
      <c r="A43" s="172">
        <v>40</v>
      </c>
      <c r="B43" s="193" t="str">
        <f t="shared" si="0"/>
        <v>Fri</v>
      </c>
      <c r="C43" s="174">
        <v>42062</v>
      </c>
      <c r="D43" s="175">
        <v>0.5368055555555555</v>
      </c>
      <c r="E43" s="193" t="s">
        <v>39</v>
      </c>
      <c r="F43" s="193" t="s">
        <v>500</v>
      </c>
      <c r="G43" s="193">
        <v>100</v>
      </c>
      <c r="H43" s="176">
        <v>57.65</v>
      </c>
      <c r="I43" s="194">
        <f t="shared" si="1"/>
        <v>5776</v>
      </c>
      <c r="J43" s="176">
        <v>57.5</v>
      </c>
      <c r="K43" s="178" t="s">
        <v>501</v>
      </c>
      <c r="L43" s="179" t="s">
        <v>41</v>
      </c>
    </row>
    <row r="44" spans="1:12" ht="15.75" thickBot="1">
      <c r="A44" s="196">
        <v>41</v>
      </c>
      <c r="B44" s="197" t="str">
        <f t="shared" si="0"/>
        <v>Mon</v>
      </c>
      <c r="C44" s="198">
        <v>42065</v>
      </c>
      <c r="D44" s="199">
        <v>0.23611111111111113</v>
      </c>
      <c r="E44" s="197" t="s">
        <v>60</v>
      </c>
      <c r="F44" s="197" t="s">
        <v>490</v>
      </c>
      <c r="G44" s="197">
        <v>70</v>
      </c>
      <c r="H44" s="200">
        <v>95.05</v>
      </c>
      <c r="I44" s="201">
        <f t="shared" si="1"/>
        <v>6664.5</v>
      </c>
      <c r="J44" s="200" t="s">
        <v>498</v>
      </c>
      <c r="K44" s="202" t="s">
        <v>502</v>
      </c>
      <c r="L44" s="203" t="s">
        <v>41</v>
      </c>
    </row>
    <row r="45" spans="1:12" ht="15">
      <c r="A45" s="204">
        <v>42</v>
      </c>
      <c r="B45" s="191" t="str">
        <f t="shared" si="0"/>
        <v>Tue</v>
      </c>
      <c r="C45" s="184">
        <v>42073</v>
      </c>
      <c r="D45" s="185">
        <v>0.27847222222222223</v>
      </c>
      <c r="E45" s="191" t="s">
        <v>58</v>
      </c>
      <c r="F45" s="191" t="s">
        <v>480</v>
      </c>
      <c r="G45" s="191">
        <v>810</v>
      </c>
      <c r="H45" s="186">
        <v>44.7</v>
      </c>
      <c r="I45" s="187">
        <f t="shared" si="1"/>
        <v>36218</v>
      </c>
      <c r="J45" s="186"/>
      <c r="K45" s="188" t="s">
        <v>503</v>
      </c>
      <c r="L45" s="170" t="s">
        <v>42</v>
      </c>
    </row>
    <row r="46" spans="1:12" ht="15">
      <c r="A46" s="182">
        <v>43</v>
      </c>
      <c r="B46" s="191" t="str">
        <f t="shared" si="0"/>
        <v>Tue</v>
      </c>
      <c r="C46" s="184">
        <v>42073</v>
      </c>
      <c r="D46" s="185">
        <v>0.3229166666666667</v>
      </c>
      <c r="E46" s="191" t="s">
        <v>39</v>
      </c>
      <c r="F46" s="191" t="s">
        <v>504</v>
      </c>
      <c r="G46" s="191">
        <v>350</v>
      </c>
      <c r="H46" s="186">
        <v>65.15</v>
      </c>
      <c r="I46" s="187">
        <f t="shared" si="1"/>
        <v>22813.500000000004</v>
      </c>
      <c r="J46" s="186">
        <v>63.3</v>
      </c>
      <c r="K46" s="188" t="s">
        <v>505</v>
      </c>
      <c r="L46" s="170" t="s">
        <v>42</v>
      </c>
    </row>
    <row r="47" spans="1:12" ht="15">
      <c r="A47" s="182">
        <v>44</v>
      </c>
      <c r="B47" s="191" t="str">
        <f t="shared" si="0"/>
        <v>Tue</v>
      </c>
      <c r="C47" s="184">
        <v>42073</v>
      </c>
      <c r="D47" s="185">
        <v>0.35555555555555557</v>
      </c>
      <c r="E47" s="191" t="s">
        <v>39</v>
      </c>
      <c r="F47" s="191" t="s">
        <v>477</v>
      </c>
      <c r="G47" s="191">
        <v>110</v>
      </c>
      <c r="H47" s="186">
        <v>66.15</v>
      </c>
      <c r="I47" s="187">
        <f t="shared" si="1"/>
        <v>7287.500000000001</v>
      </c>
      <c r="J47" s="186">
        <v>66.04</v>
      </c>
      <c r="K47" s="188" t="s">
        <v>506</v>
      </c>
      <c r="L47" s="170" t="s">
        <v>42</v>
      </c>
    </row>
    <row r="48" spans="1:12" ht="15">
      <c r="A48" s="182">
        <v>45</v>
      </c>
      <c r="B48" s="191" t="str">
        <f t="shared" si="0"/>
        <v>Wed</v>
      </c>
      <c r="C48" s="184">
        <v>42074</v>
      </c>
      <c r="D48" s="185">
        <v>0.2902777777777778</v>
      </c>
      <c r="E48" s="191" t="s">
        <v>52</v>
      </c>
      <c r="F48" s="191" t="s">
        <v>490</v>
      </c>
      <c r="G48" s="191">
        <v>30</v>
      </c>
      <c r="H48" s="186">
        <v>140.55</v>
      </c>
      <c r="I48" s="187">
        <f t="shared" si="1"/>
        <v>4227.5</v>
      </c>
      <c r="J48" s="186">
        <v>140</v>
      </c>
      <c r="K48" s="188" t="s">
        <v>507</v>
      </c>
      <c r="L48" s="170" t="s">
        <v>42</v>
      </c>
    </row>
    <row r="49" spans="1:12" ht="15">
      <c r="A49" s="181">
        <v>46</v>
      </c>
      <c r="B49" s="191" t="str">
        <f t="shared" si="0"/>
        <v>Fri</v>
      </c>
      <c r="C49" s="115">
        <v>42076</v>
      </c>
      <c r="D49" s="169">
        <v>0.5333333333333333</v>
      </c>
      <c r="E49" s="191" t="s">
        <v>60</v>
      </c>
      <c r="F49" s="191" t="s">
        <v>508</v>
      </c>
      <c r="G49" s="191">
        <v>440</v>
      </c>
      <c r="H49" s="117">
        <v>104.85</v>
      </c>
      <c r="I49" s="187">
        <f t="shared" si="1"/>
        <v>46145</v>
      </c>
      <c r="K49" s="111" t="s">
        <v>509</v>
      </c>
      <c r="L49" s="170" t="s">
        <v>42</v>
      </c>
    </row>
    <row r="50" spans="1:12" ht="15.75" thickBot="1">
      <c r="A50" s="172">
        <v>47</v>
      </c>
      <c r="B50" s="193" t="str">
        <f t="shared" si="0"/>
        <v>Fri</v>
      </c>
      <c r="C50" s="174">
        <v>42076</v>
      </c>
      <c r="D50" s="175">
        <v>0.5388888888888889</v>
      </c>
      <c r="E50" s="193" t="s">
        <v>169</v>
      </c>
      <c r="F50" s="193" t="s">
        <v>472</v>
      </c>
      <c r="G50" s="193">
        <v>320</v>
      </c>
      <c r="H50" s="176">
        <v>56.64</v>
      </c>
      <c r="I50" s="194">
        <f t="shared" si="1"/>
        <v>18135.8</v>
      </c>
      <c r="J50" s="176">
        <v>57.09</v>
      </c>
      <c r="K50" s="178" t="s">
        <v>510</v>
      </c>
      <c r="L50" s="189" t="s">
        <v>42</v>
      </c>
    </row>
    <row r="51" spans="1:12" ht="15">
      <c r="A51" s="182">
        <v>48</v>
      </c>
      <c r="B51" s="191" t="str">
        <f t="shared" si="0"/>
        <v>Tue</v>
      </c>
      <c r="C51" s="184">
        <v>42080</v>
      </c>
      <c r="D51" s="185">
        <v>0.32569444444444445</v>
      </c>
      <c r="E51" s="191" t="s">
        <v>45</v>
      </c>
      <c r="F51" s="205" t="s">
        <v>511</v>
      </c>
      <c r="G51" s="191">
        <v>1000</v>
      </c>
      <c r="H51" s="186">
        <v>20.12</v>
      </c>
      <c r="I51" s="187">
        <f t="shared" si="1"/>
        <v>20131</v>
      </c>
      <c r="J51" s="186">
        <v>20</v>
      </c>
      <c r="K51" s="188" t="s">
        <v>512</v>
      </c>
      <c r="L51" s="170" t="s">
        <v>42</v>
      </c>
    </row>
    <row r="52" spans="1:12" ht="15">
      <c r="A52" s="168">
        <v>49</v>
      </c>
      <c r="B52" s="191" t="str">
        <f>TEXT(C52,"ddd")</f>
        <v>Wed</v>
      </c>
      <c r="C52" s="115">
        <v>42081</v>
      </c>
      <c r="D52" s="169">
        <v>0.30972222222222223</v>
      </c>
      <c r="E52" s="191" t="s">
        <v>45</v>
      </c>
      <c r="F52" s="205" t="s">
        <v>513</v>
      </c>
      <c r="G52" s="191">
        <v>500</v>
      </c>
      <c r="H52" s="117">
        <v>21.46</v>
      </c>
      <c r="I52" s="187">
        <f>G52*H52+11</f>
        <v>10741</v>
      </c>
      <c r="J52" s="117">
        <v>20</v>
      </c>
      <c r="K52" s="111" t="s">
        <v>514</v>
      </c>
      <c r="L52" s="170" t="s">
        <v>42</v>
      </c>
    </row>
    <row r="53" spans="1:12" ht="15">
      <c r="A53" s="190">
        <v>50</v>
      </c>
      <c r="B53" s="191" t="str">
        <f t="shared" si="0"/>
        <v>Wed</v>
      </c>
      <c r="C53" s="115">
        <v>42081</v>
      </c>
      <c r="D53" s="169">
        <v>0.5166666666666667</v>
      </c>
      <c r="E53" s="191" t="s">
        <v>64</v>
      </c>
      <c r="F53" s="191" t="s">
        <v>480</v>
      </c>
      <c r="G53" s="191">
        <v>580</v>
      </c>
      <c r="H53" s="117">
        <v>97.25</v>
      </c>
      <c r="I53" s="187">
        <f t="shared" si="1"/>
        <v>56416</v>
      </c>
      <c r="K53" s="111" t="s">
        <v>515</v>
      </c>
      <c r="L53" s="170" t="s">
        <v>42</v>
      </c>
    </row>
    <row r="54" spans="1:12" ht="15">
      <c r="A54" s="168">
        <v>51</v>
      </c>
      <c r="B54" s="191" t="str">
        <f t="shared" si="0"/>
        <v>Thu</v>
      </c>
      <c r="C54" s="115">
        <v>42082</v>
      </c>
      <c r="D54" s="169">
        <v>0.3298611111111111</v>
      </c>
      <c r="E54" s="191" t="s">
        <v>45</v>
      </c>
      <c r="F54" s="191" t="s">
        <v>475</v>
      </c>
      <c r="G54" s="191">
        <v>780</v>
      </c>
      <c r="H54" s="117">
        <v>23.1</v>
      </c>
      <c r="I54" s="187">
        <f t="shared" si="1"/>
        <v>18029</v>
      </c>
      <c r="J54" s="117">
        <v>23</v>
      </c>
      <c r="K54" s="111" t="s">
        <v>516</v>
      </c>
      <c r="L54" s="170" t="s">
        <v>42</v>
      </c>
    </row>
    <row r="55" spans="1:12" ht="15">
      <c r="A55" s="206">
        <v>52</v>
      </c>
      <c r="B55" s="207" t="str">
        <f t="shared" si="0"/>
        <v>Thu</v>
      </c>
      <c r="C55" s="208">
        <v>42082</v>
      </c>
      <c r="D55" s="209">
        <v>0.46458333333333335</v>
      </c>
      <c r="E55" s="207" t="s">
        <v>43</v>
      </c>
      <c r="F55" s="210" t="s">
        <v>511</v>
      </c>
      <c r="G55" s="207">
        <v>160</v>
      </c>
      <c r="H55" s="211">
        <v>125</v>
      </c>
      <c r="I55" s="212">
        <f t="shared" si="1"/>
        <v>20011</v>
      </c>
      <c r="J55" s="211">
        <v>125.55</v>
      </c>
      <c r="K55" s="213"/>
      <c r="L55" s="214" t="s">
        <v>42</v>
      </c>
    </row>
    <row r="56" spans="1:12" ht="15">
      <c r="A56" s="168">
        <v>53</v>
      </c>
      <c r="B56" s="191" t="str">
        <f t="shared" si="0"/>
        <v>Mon</v>
      </c>
      <c r="C56" s="115">
        <v>42086</v>
      </c>
      <c r="D56" s="169">
        <v>0.27291666666666664</v>
      </c>
      <c r="E56" s="191" t="s">
        <v>73</v>
      </c>
      <c r="F56" s="215" t="s">
        <v>480</v>
      </c>
      <c r="G56" s="191">
        <v>1600</v>
      </c>
      <c r="H56" s="117">
        <v>26.7</v>
      </c>
      <c r="I56" s="187">
        <f t="shared" si="1"/>
        <v>42731</v>
      </c>
      <c r="K56" s="111" t="s">
        <v>517</v>
      </c>
      <c r="L56" s="195" t="s">
        <v>41</v>
      </c>
    </row>
    <row r="57" spans="1:12" ht="15">
      <c r="A57" s="168">
        <v>54</v>
      </c>
      <c r="B57" s="191" t="str">
        <f t="shared" si="0"/>
        <v>Wed</v>
      </c>
      <c r="C57" s="115">
        <v>42088</v>
      </c>
      <c r="D57" s="169">
        <v>0.5187499999999999</v>
      </c>
      <c r="E57" s="191" t="s">
        <v>43</v>
      </c>
      <c r="F57" s="215" t="s">
        <v>518</v>
      </c>
      <c r="G57" s="191">
        <v>160</v>
      </c>
      <c r="H57" s="117">
        <v>117.45</v>
      </c>
      <c r="I57" s="187">
        <f t="shared" si="1"/>
        <v>18803</v>
      </c>
      <c r="K57" s="111" t="s">
        <v>519</v>
      </c>
      <c r="L57" s="195" t="s">
        <v>41</v>
      </c>
    </row>
    <row r="58" spans="1:12" ht="15">
      <c r="A58" s="168">
        <v>55</v>
      </c>
      <c r="B58" s="191" t="str">
        <f t="shared" si="0"/>
        <v>Fri</v>
      </c>
      <c r="C58" s="115">
        <v>42090</v>
      </c>
      <c r="D58" s="169">
        <v>0.27291666666666664</v>
      </c>
      <c r="E58" s="191" t="s">
        <v>45</v>
      </c>
      <c r="F58" s="215" t="s">
        <v>477</v>
      </c>
      <c r="G58" s="191">
        <v>510</v>
      </c>
      <c r="H58" s="117">
        <v>23.65</v>
      </c>
      <c r="I58" s="187">
        <f t="shared" si="1"/>
        <v>12072.5</v>
      </c>
      <c r="J58" s="117">
        <v>23.5</v>
      </c>
      <c r="K58" s="111" t="s">
        <v>520</v>
      </c>
      <c r="L58" s="170" t="s">
        <v>42</v>
      </c>
    </row>
    <row r="59" spans="1:12" ht="15">
      <c r="A59" s="168">
        <v>56</v>
      </c>
      <c r="B59" s="191" t="str">
        <f t="shared" si="0"/>
        <v>Fri</v>
      </c>
      <c r="C59" s="115">
        <v>42090</v>
      </c>
      <c r="D59" s="169">
        <v>0.30833333333333335</v>
      </c>
      <c r="E59" s="191" t="s">
        <v>208</v>
      </c>
      <c r="F59" s="215" t="s">
        <v>472</v>
      </c>
      <c r="G59" s="191">
        <v>95</v>
      </c>
      <c r="H59" s="117">
        <v>214</v>
      </c>
      <c r="I59" s="187">
        <f t="shared" si="1"/>
        <v>20341</v>
      </c>
      <c r="J59" s="117">
        <v>214.25</v>
      </c>
      <c r="K59" s="111" t="s">
        <v>521</v>
      </c>
      <c r="L59" s="170" t="s">
        <v>42</v>
      </c>
    </row>
    <row r="60" spans="1:12" ht="15">
      <c r="A60" s="216" t="s">
        <v>522</v>
      </c>
      <c r="B60" s="207" t="str">
        <f t="shared" si="0"/>
        <v>Sat</v>
      </c>
      <c r="C60" s="208">
        <v>42091</v>
      </c>
      <c r="D60" s="209"/>
      <c r="E60" s="217"/>
      <c r="F60" s="218"/>
      <c r="G60" s="217"/>
      <c r="H60" s="211"/>
      <c r="I60" s="217"/>
      <c r="J60" s="211"/>
      <c r="K60" s="213" t="s">
        <v>523</v>
      </c>
      <c r="L60" s="214" t="s">
        <v>42</v>
      </c>
    </row>
    <row r="61" spans="1:12" ht="15">
      <c r="A61" s="168">
        <v>57</v>
      </c>
      <c r="B61" s="191" t="str">
        <f t="shared" si="0"/>
        <v>Mon</v>
      </c>
      <c r="C61" s="115">
        <v>42093</v>
      </c>
      <c r="D61" s="169">
        <v>0.27638888888888885</v>
      </c>
      <c r="E61" s="191" t="s">
        <v>52</v>
      </c>
      <c r="F61" s="215" t="s">
        <v>494</v>
      </c>
      <c r="G61" s="191">
        <v>40</v>
      </c>
      <c r="H61" s="117">
        <v>149.23</v>
      </c>
      <c r="I61" s="187">
        <f t="shared" si="1"/>
        <v>5980.2</v>
      </c>
      <c r="J61" s="117">
        <v>149.45</v>
      </c>
      <c r="K61" s="111" t="s">
        <v>524</v>
      </c>
      <c r="L61" s="170" t="s">
        <v>42</v>
      </c>
    </row>
    <row r="62" spans="1:12" ht="15">
      <c r="A62" s="168">
        <v>58</v>
      </c>
      <c r="B62" s="191" t="str">
        <f t="shared" si="0"/>
        <v>Mon</v>
      </c>
      <c r="C62" s="115">
        <v>42093</v>
      </c>
      <c r="D62" s="169">
        <v>0.29305555555555557</v>
      </c>
      <c r="E62" s="191" t="s">
        <v>208</v>
      </c>
      <c r="F62" s="215" t="s">
        <v>475</v>
      </c>
      <c r="G62" s="191">
        <v>55</v>
      </c>
      <c r="H62" s="117">
        <v>219.41</v>
      </c>
      <c r="I62" s="187">
        <f t="shared" si="1"/>
        <v>12078.55</v>
      </c>
      <c r="J62" s="117">
        <v>219.34</v>
      </c>
      <c r="K62" s="111" t="s">
        <v>525</v>
      </c>
      <c r="L62" s="170" t="s">
        <v>42</v>
      </c>
    </row>
    <row r="63" spans="1:12" ht="15">
      <c r="A63" s="206">
        <v>59</v>
      </c>
      <c r="B63" s="207" t="str">
        <f t="shared" si="0"/>
        <v>Mon</v>
      </c>
      <c r="C63" s="208">
        <v>42093</v>
      </c>
      <c r="D63" s="209">
        <v>0.34375</v>
      </c>
      <c r="E63" s="207" t="s">
        <v>39</v>
      </c>
      <c r="F63" s="219" t="s">
        <v>490</v>
      </c>
      <c r="G63" s="207">
        <v>110</v>
      </c>
      <c r="H63" s="211">
        <v>73.37</v>
      </c>
      <c r="I63" s="212">
        <f t="shared" si="1"/>
        <v>8081.700000000001</v>
      </c>
      <c r="J63" s="211">
        <v>73.6</v>
      </c>
      <c r="K63" s="213" t="s">
        <v>495</v>
      </c>
      <c r="L63" s="214" t="s">
        <v>42</v>
      </c>
    </row>
    <row r="64" spans="1:12" ht="15">
      <c r="A64" s="182">
        <v>60</v>
      </c>
      <c r="B64" s="191" t="str">
        <f t="shared" si="0"/>
        <v>Wed</v>
      </c>
      <c r="C64" s="184">
        <v>42102</v>
      </c>
      <c r="D64" s="185">
        <v>0.2791666666666667</v>
      </c>
      <c r="E64" s="191" t="s">
        <v>45</v>
      </c>
      <c r="F64" s="215" t="s">
        <v>490</v>
      </c>
      <c r="G64" s="191">
        <v>560</v>
      </c>
      <c r="H64" s="186">
        <v>26.2</v>
      </c>
      <c r="I64" s="187">
        <f t="shared" si="1"/>
        <v>14683</v>
      </c>
      <c r="J64" s="186">
        <v>25.7</v>
      </c>
      <c r="K64" s="188" t="s">
        <v>526</v>
      </c>
      <c r="L64" s="170" t="s">
        <v>42</v>
      </c>
    </row>
    <row r="65" spans="1:12" ht="15">
      <c r="A65" s="182">
        <v>61</v>
      </c>
      <c r="B65" s="191" t="str">
        <f t="shared" si="0"/>
        <v>Thu</v>
      </c>
      <c r="C65" s="184">
        <v>42103</v>
      </c>
      <c r="D65" s="185">
        <v>0.43333333333333335</v>
      </c>
      <c r="E65" s="191" t="s">
        <v>169</v>
      </c>
      <c r="F65" s="215" t="s">
        <v>477</v>
      </c>
      <c r="G65" s="191">
        <v>125</v>
      </c>
      <c r="H65" s="186">
        <v>59.27</v>
      </c>
      <c r="I65" s="187">
        <f t="shared" si="1"/>
        <v>7419.75</v>
      </c>
      <c r="J65" s="186">
        <v>59.2</v>
      </c>
      <c r="K65" s="188" t="s">
        <v>527</v>
      </c>
      <c r="L65" s="170" t="s">
        <v>42</v>
      </c>
    </row>
    <row r="66" spans="1:12" ht="15">
      <c r="A66" s="182">
        <v>62</v>
      </c>
      <c r="B66" s="191" t="str">
        <f t="shared" si="0"/>
        <v>Wed</v>
      </c>
      <c r="C66" s="184">
        <v>42109</v>
      </c>
      <c r="D66" s="185">
        <v>0.2722222222222222</v>
      </c>
      <c r="E66" s="191" t="s">
        <v>61</v>
      </c>
      <c r="F66" s="215" t="s">
        <v>494</v>
      </c>
      <c r="G66" s="191">
        <v>50</v>
      </c>
      <c r="H66" s="186">
        <v>156.13</v>
      </c>
      <c r="I66" s="187">
        <f t="shared" si="1"/>
        <v>7817.5</v>
      </c>
      <c r="J66" s="186">
        <v>59.1</v>
      </c>
      <c r="K66" s="188" t="s">
        <v>528</v>
      </c>
      <c r="L66" s="170" t="s">
        <v>42</v>
      </c>
    </row>
    <row r="67" spans="1:12" ht="15">
      <c r="A67" s="206">
        <v>63</v>
      </c>
      <c r="B67" s="207" t="str">
        <f t="shared" si="0"/>
        <v>Wed</v>
      </c>
      <c r="C67" s="208">
        <v>42109</v>
      </c>
      <c r="D67" s="209">
        <v>0.4083333333333334</v>
      </c>
      <c r="E67" s="207" t="s">
        <v>45</v>
      </c>
      <c r="F67" s="219" t="s">
        <v>494</v>
      </c>
      <c r="G67" s="207">
        <v>670</v>
      </c>
      <c r="H67" s="211">
        <v>29.02</v>
      </c>
      <c r="I67" s="212">
        <f t="shared" si="1"/>
        <v>19454.4</v>
      </c>
      <c r="J67" s="211"/>
      <c r="K67" s="213" t="s">
        <v>529</v>
      </c>
      <c r="L67" s="214"/>
    </row>
    <row r="68" spans="1:12" ht="15">
      <c r="A68" s="182">
        <v>64</v>
      </c>
      <c r="B68" s="191" t="str">
        <f t="shared" si="0"/>
        <v>Tue</v>
      </c>
      <c r="C68" s="184">
        <v>42115</v>
      </c>
      <c r="D68" s="185">
        <v>0.27291666666666664</v>
      </c>
      <c r="E68" s="191" t="s">
        <v>45</v>
      </c>
      <c r="F68" s="215" t="s">
        <v>494</v>
      </c>
      <c r="G68" s="191">
        <v>670</v>
      </c>
      <c r="H68" s="186">
        <v>31.27</v>
      </c>
      <c r="I68" s="187">
        <f t="shared" si="1"/>
        <v>20961.9</v>
      </c>
      <c r="J68" s="186">
        <v>30.72</v>
      </c>
      <c r="K68" s="188" t="s">
        <v>530</v>
      </c>
      <c r="L68" s="170" t="s">
        <v>42</v>
      </c>
    </row>
    <row r="69" spans="1:12" ht="15">
      <c r="A69" s="182">
        <v>65</v>
      </c>
      <c r="B69" s="191" t="str">
        <f t="shared" si="0"/>
        <v>Thu</v>
      </c>
      <c r="C69" s="184">
        <v>42117</v>
      </c>
      <c r="D69" s="185">
        <v>0.27569444444444446</v>
      </c>
      <c r="E69" s="191" t="s">
        <v>208</v>
      </c>
      <c r="F69" s="215" t="s">
        <v>477</v>
      </c>
      <c r="G69" s="191">
        <v>35</v>
      </c>
      <c r="H69" s="186">
        <v>226.35</v>
      </c>
      <c r="I69" s="187">
        <f t="shared" si="1"/>
        <v>7933.25</v>
      </c>
      <c r="J69" s="186">
        <v>223.6</v>
      </c>
      <c r="K69" s="188" t="s">
        <v>531</v>
      </c>
      <c r="L69" s="170" t="s">
        <v>42</v>
      </c>
    </row>
    <row r="70" spans="1:12" ht="15">
      <c r="A70" s="168">
        <v>66</v>
      </c>
      <c r="B70" s="191" t="str">
        <f t="shared" si="0"/>
        <v>Thu</v>
      </c>
      <c r="C70" s="115">
        <v>42117</v>
      </c>
      <c r="D70" s="169">
        <v>0.3451388888888889</v>
      </c>
      <c r="E70" s="191" t="s">
        <v>49</v>
      </c>
      <c r="F70" s="215" t="s">
        <v>472</v>
      </c>
      <c r="G70" s="191">
        <v>215</v>
      </c>
      <c r="H70" s="117">
        <v>117.5</v>
      </c>
      <c r="I70" s="187">
        <f t="shared" si="1"/>
        <v>25273.5</v>
      </c>
      <c r="J70" s="117">
        <v>117</v>
      </c>
      <c r="K70" s="111" t="s">
        <v>532</v>
      </c>
      <c r="L70" s="170" t="s">
        <v>42</v>
      </c>
    </row>
    <row r="71" spans="1:12" ht="15">
      <c r="A71" s="168">
        <v>67</v>
      </c>
      <c r="B71" s="191" t="str">
        <f t="shared" si="0"/>
        <v>Thu</v>
      </c>
      <c r="C71" s="115">
        <v>42117</v>
      </c>
      <c r="D71" s="169">
        <v>0.5569444444444445</v>
      </c>
      <c r="E71" s="191" t="s">
        <v>80</v>
      </c>
      <c r="F71" s="215" t="s">
        <v>533</v>
      </c>
      <c r="G71" s="191">
        <v>150</v>
      </c>
      <c r="H71" s="117">
        <v>77.75</v>
      </c>
      <c r="I71" s="187">
        <f t="shared" si="1"/>
        <v>11673.5</v>
      </c>
      <c r="K71" s="111" t="s">
        <v>491</v>
      </c>
      <c r="L71" s="170" t="s">
        <v>42</v>
      </c>
    </row>
    <row r="72" spans="1:12" ht="15">
      <c r="A72" s="168">
        <v>68</v>
      </c>
      <c r="B72" s="191" t="str">
        <f t="shared" si="0"/>
        <v>Fri</v>
      </c>
      <c r="C72" s="115">
        <v>42118</v>
      </c>
      <c r="D72" s="169">
        <v>0.2743055555555555</v>
      </c>
      <c r="E72" s="191" t="s">
        <v>49</v>
      </c>
      <c r="F72" s="215" t="s">
        <v>475</v>
      </c>
      <c r="G72" s="191">
        <v>125</v>
      </c>
      <c r="H72" s="117">
        <v>119.93</v>
      </c>
      <c r="I72" s="187">
        <f t="shared" si="1"/>
        <v>15002.25</v>
      </c>
      <c r="J72" s="117">
        <v>119.9</v>
      </c>
      <c r="K72" s="111" t="s">
        <v>534</v>
      </c>
      <c r="L72" s="195" t="s">
        <v>41</v>
      </c>
    </row>
    <row r="73" spans="1:12" ht="15">
      <c r="A73" s="168">
        <v>69</v>
      </c>
      <c r="B73" s="191" t="str">
        <f t="shared" si="0"/>
        <v>Fri</v>
      </c>
      <c r="C73" s="115">
        <v>42118</v>
      </c>
      <c r="D73" s="169">
        <v>0.28541666666666665</v>
      </c>
      <c r="E73" s="191" t="s">
        <v>49</v>
      </c>
      <c r="F73" s="215" t="s">
        <v>477</v>
      </c>
      <c r="G73" s="191">
        <v>80</v>
      </c>
      <c r="H73" s="117">
        <v>122.62</v>
      </c>
      <c r="I73" s="187">
        <f t="shared" si="1"/>
        <v>9820.6</v>
      </c>
      <c r="J73" s="117">
        <v>122.3</v>
      </c>
      <c r="K73" s="111" t="s">
        <v>535</v>
      </c>
      <c r="L73" s="195" t="s">
        <v>41</v>
      </c>
    </row>
    <row r="74" spans="1:12" ht="15">
      <c r="A74" s="220">
        <v>70</v>
      </c>
      <c r="B74" s="207" t="str">
        <f t="shared" si="0"/>
        <v>Fri</v>
      </c>
      <c r="C74" s="208">
        <v>42118</v>
      </c>
      <c r="D74" s="209">
        <v>0.44166666666666665</v>
      </c>
      <c r="E74" s="207" t="s">
        <v>92</v>
      </c>
      <c r="F74" s="219" t="s">
        <v>480</v>
      </c>
      <c r="G74" s="207">
        <v>305</v>
      </c>
      <c r="H74" s="211">
        <v>141.92</v>
      </c>
      <c r="I74" s="212">
        <f t="shared" si="1"/>
        <v>43296.6</v>
      </c>
      <c r="J74" s="211"/>
      <c r="K74" s="213" t="s">
        <v>536</v>
      </c>
      <c r="L74" s="221" t="s">
        <v>41</v>
      </c>
    </row>
    <row r="75" spans="1:12" ht="15">
      <c r="A75" s="222">
        <v>71</v>
      </c>
      <c r="B75" s="223" t="str">
        <f t="shared" si="0"/>
        <v>Mon</v>
      </c>
      <c r="C75" s="224">
        <v>42128</v>
      </c>
      <c r="D75" s="225">
        <v>0.525</v>
      </c>
      <c r="E75" s="223" t="s">
        <v>80</v>
      </c>
      <c r="F75" s="226" t="s">
        <v>537</v>
      </c>
      <c r="G75" s="223">
        <v>180</v>
      </c>
      <c r="H75" s="227">
        <v>93.09</v>
      </c>
      <c r="I75" s="228">
        <f t="shared" si="1"/>
        <v>16767.2</v>
      </c>
      <c r="J75" s="227"/>
      <c r="K75" s="229" t="s">
        <v>529</v>
      </c>
      <c r="L75" s="230" t="s">
        <v>42</v>
      </c>
    </row>
    <row r="76" spans="1:12" ht="15">
      <c r="A76" s="182">
        <v>72</v>
      </c>
      <c r="B76" s="191" t="str">
        <f t="shared" si="0"/>
        <v>Thu</v>
      </c>
      <c r="C76" s="184">
        <v>42138</v>
      </c>
      <c r="D76" s="185">
        <v>0.2722222222222222</v>
      </c>
      <c r="E76" s="191" t="s">
        <v>49</v>
      </c>
      <c r="F76" s="215" t="s">
        <v>490</v>
      </c>
      <c r="G76" s="191">
        <v>85</v>
      </c>
      <c r="H76" s="186">
        <v>138.86</v>
      </c>
      <c r="I76" s="187">
        <f t="shared" si="1"/>
        <v>11814.1</v>
      </c>
      <c r="J76" s="186"/>
      <c r="K76" s="188" t="s">
        <v>491</v>
      </c>
      <c r="L76" s="231" t="s">
        <v>30</v>
      </c>
    </row>
    <row r="77" spans="1:12" ht="15">
      <c r="A77" s="232" t="s">
        <v>522</v>
      </c>
      <c r="B77" s="191" t="str">
        <f t="shared" si="0"/>
        <v>Fri</v>
      </c>
      <c r="C77" s="184">
        <v>42139</v>
      </c>
      <c r="D77" s="185">
        <v>0.3125</v>
      </c>
      <c r="E77" s="191" t="s">
        <v>39</v>
      </c>
      <c r="F77" s="215"/>
      <c r="G77" s="191"/>
      <c r="H77" s="186"/>
      <c r="I77" s="187"/>
      <c r="J77" s="186"/>
      <c r="K77" s="188" t="s">
        <v>538</v>
      </c>
      <c r="L77" s="195" t="s">
        <v>41</v>
      </c>
    </row>
    <row r="78" spans="1:12" ht="15">
      <c r="A78" s="182">
        <v>73</v>
      </c>
      <c r="B78" s="191" t="str">
        <f t="shared" si="0"/>
        <v>Fri</v>
      </c>
      <c r="C78" s="184">
        <v>42139</v>
      </c>
      <c r="D78" s="185">
        <v>0.3138888888888889</v>
      </c>
      <c r="E78" s="191" t="s">
        <v>39</v>
      </c>
      <c r="F78" s="215" t="s">
        <v>494</v>
      </c>
      <c r="G78" s="191">
        <v>200</v>
      </c>
      <c r="H78" s="186">
        <v>77.5</v>
      </c>
      <c r="I78" s="187">
        <f t="shared" si="1"/>
        <v>15511</v>
      </c>
      <c r="J78" s="186">
        <v>77.49</v>
      </c>
      <c r="K78" s="188" t="s">
        <v>539</v>
      </c>
      <c r="L78" s="195" t="s">
        <v>41</v>
      </c>
    </row>
    <row r="79" spans="1:12" s="183" customFormat="1" ht="15">
      <c r="A79" s="182">
        <v>74</v>
      </c>
      <c r="B79" s="191" t="str">
        <f t="shared" si="0"/>
        <v>Mon</v>
      </c>
      <c r="C79" s="184">
        <v>42142</v>
      </c>
      <c r="D79" s="185">
        <v>0.4666666666666666</v>
      </c>
      <c r="E79" s="191" t="s">
        <v>52</v>
      </c>
      <c r="F79" s="215" t="s">
        <v>533</v>
      </c>
      <c r="G79" s="191">
        <v>45</v>
      </c>
      <c r="H79" s="186">
        <v>158</v>
      </c>
      <c r="I79" s="187">
        <f t="shared" si="1"/>
        <v>7121</v>
      </c>
      <c r="J79" s="186">
        <v>158.34</v>
      </c>
      <c r="K79" s="188" t="s">
        <v>540</v>
      </c>
      <c r="L79" s="195" t="s">
        <v>41</v>
      </c>
    </row>
    <row r="80" spans="1:12" s="183" customFormat="1" ht="15">
      <c r="A80" s="216" t="s">
        <v>522</v>
      </c>
      <c r="B80" s="207" t="str">
        <f t="shared" si="0"/>
        <v>Fri</v>
      </c>
      <c r="C80" s="208">
        <v>42146</v>
      </c>
      <c r="D80" s="209"/>
      <c r="E80" s="207" t="s">
        <v>52</v>
      </c>
      <c r="F80" s="219"/>
      <c r="G80" s="207"/>
      <c r="H80" s="211"/>
      <c r="I80" s="212"/>
      <c r="J80" s="211"/>
      <c r="K80" s="213" t="s">
        <v>541</v>
      </c>
      <c r="L80" s="221" t="s">
        <v>41</v>
      </c>
    </row>
    <row r="81" spans="1:12" ht="15">
      <c r="A81" s="222">
        <v>75</v>
      </c>
      <c r="B81" s="223" t="str">
        <f t="shared" si="0"/>
        <v>Thu</v>
      </c>
      <c r="C81" s="224">
        <v>42152</v>
      </c>
      <c r="D81" s="225">
        <v>0.50625</v>
      </c>
      <c r="E81" s="223" t="s">
        <v>52</v>
      </c>
      <c r="F81" s="226" t="s">
        <v>537</v>
      </c>
      <c r="G81" s="223">
        <v>55</v>
      </c>
      <c r="H81" s="227">
        <v>168</v>
      </c>
      <c r="I81" s="228">
        <f t="shared" si="1"/>
        <v>9251</v>
      </c>
      <c r="J81" s="227"/>
      <c r="K81" s="229" t="s">
        <v>529</v>
      </c>
      <c r="L81" s="221" t="s">
        <v>41</v>
      </c>
    </row>
    <row r="82" spans="1:12" ht="15">
      <c r="A82" s="182">
        <v>76</v>
      </c>
      <c r="B82" s="191" t="str">
        <f t="shared" si="0"/>
        <v>Mon</v>
      </c>
      <c r="C82" s="184">
        <v>42156</v>
      </c>
      <c r="D82" s="185">
        <v>0.31875000000000003</v>
      </c>
      <c r="E82" s="191" t="s">
        <v>66</v>
      </c>
      <c r="F82" s="215" t="s">
        <v>472</v>
      </c>
      <c r="G82" s="191">
        <v>1900</v>
      </c>
      <c r="H82" s="186">
        <v>41</v>
      </c>
      <c r="I82" s="187">
        <f t="shared" si="1"/>
        <v>77911</v>
      </c>
      <c r="J82" s="186">
        <v>41</v>
      </c>
      <c r="K82" s="188" t="s">
        <v>542</v>
      </c>
      <c r="L82" s="195" t="s">
        <v>41</v>
      </c>
    </row>
    <row r="83" spans="1:12" ht="15">
      <c r="A83" s="168">
        <v>77</v>
      </c>
      <c r="B83" s="191" t="str">
        <f t="shared" si="0"/>
        <v>Mon</v>
      </c>
      <c r="C83" s="115">
        <v>42156</v>
      </c>
      <c r="D83" s="169">
        <v>0.3840277777777778</v>
      </c>
      <c r="E83" s="191" t="s">
        <v>39</v>
      </c>
      <c r="F83" s="215" t="s">
        <v>533</v>
      </c>
      <c r="G83" s="191">
        <v>180</v>
      </c>
      <c r="H83" s="117">
        <v>93.05</v>
      </c>
      <c r="I83" s="187">
        <f t="shared" si="1"/>
        <v>16760</v>
      </c>
      <c r="K83" s="111" t="s">
        <v>529</v>
      </c>
      <c r="L83" s="195" t="s">
        <v>41</v>
      </c>
    </row>
    <row r="84" spans="1:12" ht="15">
      <c r="A84" s="168">
        <v>78</v>
      </c>
      <c r="B84" s="191" t="str">
        <f t="shared" si="0"/>
        <v>Wed</v>
      </c>
      <c r="C84" s="115">
        <v>42158</v>
      </c>
      <c r="D84" s="169">
        <v>0.30833333333333335</v>
      </c>
      <c r="E84" s="191" t="s">
        <v>66</v>
      </c>
      <c r="F84" s="215" t="s">
        <v>475</v>
      </c>
      <c r="G84" s="191">
        <v>1100</v>
      </c>
      <c r="H84" s="117">
        <v>42.1</v>
      </c>
      <c r="I84" s="187">
        <f t="shared" si="1"/>
        <v>46321</v>
      </c>
      <c r="J84" s="117">
        <v>42</v>
      </c>
      <c r="K84" s="111" t="s">
        <v>543</v>
      </c>
      <c r="L84" s="195" t="s">
        <v>41</v>
      </c>
    </row>
    <row r="85" spans="1:12" ht="15">
      <c r="A85" s="232" t="s">
        <v>522</v>
      </c>
      <c r="B85" s="191" t="str">
        <f t="shared" si="0"/>
        <v>Fri</v>
      </c>
      <c r="C85" s="115">
        <v>42160</v>
      </c>
      <c r="D85" s="169">
        <v>0.3333333333333333</v>
      </c>
      <c r="E85" s="191" t="s">
        <v>39</v>
      </c>
      <c r="K85" s="111" t="s">
        <v>544</v>
      </c>
      <c r="L85" s="195" t="s">
        <v>41</v>
      </c>
    </row>
    <row r="86" spans="1:12" ht="15">
      <c r="A86" s="220">
        <v>79</v>
      </c>
      <c r="B86" s="207" t="str">
        <f t="shared" si="0"/>
        <v>Fri</v>
      </c>
      <c r="C86" s="208">
        <v>42160</v>
      </c>
      <c r="D86" s="209">
        <v>0.4381944444444445</v>
      </c>
      <c r="E86" s="207" t="s">
        <v>45</v>
      </c>
      <c r="F86" s="217" t="s">
        <v>480</v>
      </c>
      <c r="G86" s="217">
        <v>4690</v>
      </c>
      <c r="H86" s="211">
        <v>35.33</v>
      </c>
      <c r="I86" s="212">
        <f t="shared" si="1"/>
        <v>165708.69999999998</v>
      </c>
      <c r="J86" s="211"/>
      <c r="K86" s="213" t="s">
        <v>545</v>
      </c>
      <c r="L86" s="221" t="s">
        <v>41</v>
      </c>
    </row>
    <row r="87" spans="1:12" ht="15">
      <c r="A87" s="182">
        <v>80</v>
      </c>
      <c r="B87" s="191" t="str">
        <f t="shared" si="0"/>
        <v>Mon</v>
      </c>
      <c r="C87" s="184">
        <v>42163</v>
      </c>
      <c r="D87" s="185">
        <v>0.2722222222222222</v>
      </c>
      <c r="E87" s="191" t="s">
        <v>66</v>
      </c>
      <c r="F87" s="191" t="s">
        <v>477</v>
      </c>
      <c r="G87" s="191">
        <v>700</v>
      </c>
      <c r="H87" s="186">
        <v>43.43</v>
      </c>
      <c r="I87" s="187">
        <f t="shared" si="1"/>
        <v>30412</v>
      </c>
      <c r="J87" s="186">
        <v>42.85</v>
      </c>
      <c r="K87" s="188" t="s">
        <v>546</v>
      </c>
      <c r="L87" s="195" t="s">
        <v>41</v>
      </c>
    </row>
    <row r="88" spans="1:12" ht="15">
      <c r="A88" s="182">
        <v>81</v>
      </c>
      <c r="B88" s="191" t="str">
        <f t="shared" si="0"/>
        <v>Tue</v>
      </c>
      <c r="C88" s="184">
        <v>42164</v>
      </c>
      <c r="D88" s="185">
        <v>0.36944444444444446</v>
      </c>
      <c r="E88" s="191" t="s">
        <v>59</v>
      </c>
      <c r="F88" s="191" t="s">
        <v>472</v>
      </c>
      <c r="G88" s="191">
        <v>1600</v>
      </c>
      <c r="H88" s="186">
        <v>47.25</v>
      </c>
      <c r="I88" s="187">
        <f t="shared" si="1"/>
        <v>75611</v>
      </c>
      <c r="J88" s="186">
        <v>47</v>
      </c>
      <c r="K88" s="188" t="s">
        <v>547</v>
      </c>
      <c r="L88" s="195" t="s">
        <v>41</v>
      </c>
    </row>
    <row r="89" spans="1:12" ht="15">
      <c r="A89" s="182">
        <v>82</v>
      </c>
      <c r="B89" s="191" t="str">
        <f t="shared" si="0"/>
        <v>Tue</v>
      </c>
      <c r="C89" s="184">
        <v>42164</v>
      </c>
      <c r="D89" s="185">
        <v>0.4784722222222222</v>
      </c>
      <c r="E89" s="191" t="s">
        <v>59</v>
      </c>
      <c r="F89" s="191" t="s">
        <v>475</v>
      </c>
      <c r="G89" s="191">
        <v>750</v>
      </c>
      <c r="H89" s="186">
        <v>48.3</v>
      </c>
      <c r="I89" s="187">
        <f t="shared" si="1"/>
        <v>36236</v>
      </c>
      <c r="J89" s="186">
        <v>48.2</v>
      </c>
      <c r="K89" s="188" t="s">
        <v>548</v>
      </c>
      <c r="L89" s="195" t="s">
        <v>41</v>
      </c>
    </row>
    <row r="90" spans="1:12" ht="15">
      <c r="A90" s="182">
        <v>83</v>
      </c>
      <c r="B90" s="191" t="str">
        <f t="shared" si="0"/>
        <v>Thu</v>
      </c>
      <c r="C90" s="184">
        <v>42166</v>
      </c>
      <c r="D90" s="185">
        <v>0.2916666666666667</v>
      </c>
      <c r="E90" s="191" t="s">
        <v>59</v>
      </c>
      <c r="F90" s="191" t="s">
        <v>477</v>
      </c>
      <c r="G90" s="191">
        <v>500</v>
      </c>
      <c r="H90" s="186">
        <v>49.14</v>
      </c>
      <c r="I90" s="187">
        <f t="shared" si="1"/>
        <v>24581</v>
      </c>
      <c r="J90" s="186">
        <v>49.2</v>
      </c>
      <c r="K90" s="188" t="s">
        <v>549</v>
      </c>
      <c r="L90" s="195" t="s">
        <v>41</v>
      </c>
    </row>
    <row r="91" spans="1:12" ht="15">
      <c r="A91" s="220">
        <v>84</v>
      </c>
      <c r="B91" s="207" t="str">
        <f t="shared" si="0"/>
        <v>Thu</v>
      </c>
      <c r="C91" s="208">
        <v>42166</v>
      </c>
      <c r="D91" s="209">
        <v>0.27847222222222223</v>
      </c>
      <c r="E91" s="207" t="s">
        <v>49</v>
      </c>
      <c r="F91" s="207" t="s">
        <v>480</v>
      </c>
      <c r="G91" s="207">
        <v>505</v>
      </c>
      <c r="H91" s="211">
        <v>149.95</v>
      </c>
      <c r="I91" s="212">
        <f t="shared" si="1"/>
        <v>75735.75</v>
      </c>
      <c r="J91" s="211"/>
      <c r="K91" s="213" t="s">
        <v>550</v>
      </c>
      <c r="L91" s="221" t="s">
        <v>41</v>
      </c>
    </row>
    <row r="92" spans="1:12" ht="15">
      <c r="A92" s="182">
        <v>85</v>
      </c>
      <c r="B92" s="191" t="str">
        <f t="shared" si="0"/>
        <v>Thu</v>
      </c>
      <c r="C92" s="184">
        <v>42173</v>
      </c>
      <c r="D92" s="185">
        <v>0.30833333333333335</v>
      </c>
      <c r="E92" s="191" t="s">
        <v>169</v>
      </c>
      <c r="F92" s="191" t="s">
        <v>490</v>
      </c>
      <c r="G92" s="191">
        <v>65</v>
      </c>
      <c r="H92" s="186">
        <v>62.25</v>
      </c>
      <c r="I92" s="187">
        <f t="shared" si="1"/>
        <v>4057.25</v>
      </c>
      <c r="J92" s="186">
        <v>61.98</v>
      </c>
      <c r="K92" s="188" t="s">
        <v>551</v>
      </c>
      <c r="L92" s="195" t="s">
        <v>41</v>
      </c>
    </row>
    <row r="93" spans="1:12" ht="15">
      <c r="A93" s="204">
        <v>86</v>
      </c>
      <c r="B93" s="191" t="str">
        <f t="shared" si="0"/>
        <v>Fri</v>
      </c>
      <c r="C93" s="184">
        <v>42174</v>
      </c>
      <c r="D93" s="185">
        <v>0.5194444444444445</v>
      </c>
      <c r="E93" s="191" t="s">
        <v>39</v>
      </c>
      <c r="F93" s="191" t="s">
        <v>480</v>
      </c>
      <c r="G93" s="191">
        <v>1050</v>
      </c>
      <c r="H93" s="186">
        <v>119.02</v>
      </c>
      <c r="I93" s="187">
        <f t="shared" si="1"/>
        <v>124982</v>
      </c>
      <c r="J93" s="186"/>
      <c r="K93" s="188" t="s">
        <v>552</v>
      </c>
      <c r="L93" s="195" t="s">
        <v>41</v>
      </c>
    </row>
    <row r="94" spans="1:12" ht="15">
      <c r="A94" s="182">
        <v>87</v>
      </c>
      <c r="B94" s="191" t="str">
        <f>TEXT(C94,"ddd")</f>
        <v>Fri</v>
      </c>
      <c r="C94" s="184">
        <v>42174</v>
      </c>
      <c r="D94" s="185">
        <v>0.5347222222222222</v>
      </c>
      <c r="E94" s="191" t="s">
        <v>48</v>
      </c>
      <c r="F94" s="191" t="s">
        <v>472</v>
      </c>
      <c r="G94" s="191">
        <v>950</v>
      </c>
      <c r="H94" s="186">
        <v>82.6</v>
      </c>
      <c r="I94" s="187">
        <f>G94*H94+11</f>
        <v>78481</v>
      </c>
      <c r="J94" s="186">
        <v>82.6</v>
      </c>
      <c r="K94" s="188" t="s">
        <v>553</v>
      </c>
      <c r="L94" s="195" t="s">
        <v>41</v>
      </c>
    </row>
    <row r="95" spans="1:12" ht="15">
      <c r="A95" s="216" t="s">
        <v>522</v>
      </c>
      <c r="B95" s="207" t="str">
        <f aca="true" t="shared" si="2" ref="B95:B164">TEXT(C95,"ddd")</f>
        <v>Fri</v>
      </c>
      <c r="C95" s="208">
        <v>42174</v>
      </c>
      <c r="D95" s="209"/>
      <c r="E95" s="207"/>
      <c r="F95" s="219"/>
      <c r="G95" s="207"/>
      <c r="H95" s="211"/>
      <c r="I95" s="212"/>
      <c r="J95" s="211"/>
      <c r="K95" s="213" t="s">
        <v>554</v>
      </c>
      <c r="L95" s="221" t="s">
        <v>41</v>
      </c>
    </row>
    <row r="96" spans="1:12" ht="15">
      <c r="A96" s="168">
        <v>88</v>
      </c>
      <c r="B96" s="191" t="str">
        <f t="shared" si="2"/>
        <v>Mon</v>
      </c>
      <c r="C96" s="115">
        <v>42177</v>
      </c>
      <c r="D96" s="169">
        <v>0.37013888888888885</v>
      </c>
      <c r="E96" s="191" t="s">
        <v>48</v>
      </c>
      <c r="F96" s="215" t="s">
        <v>475</v>
      </c>
      <c r="G96" s="191">
        <v>550</v>
      </c>
      <c r="H96" s="117">
        <v>84.55</v>
      </c>
      <c r="I96" s="187">
        <f aca="true" t="shared" si="3" ref="I96:I164">G96*H96+11</f>
        <v>46513.5</v>
      </c>
      <c r="J96" s="117">
        <v>84.6</v>
      </c>
      <c r="K96" s="111" t="s">
        <v>555</v>
      </c>
      <c r="L96" s="195" t="s">
        <v>41</v>
      </c>
    </row>
    <row r="97" spans="1:12" ht="15">
      <c r="A97" s="168">
        <v>89</v>
      </c>
      <c r="B97" s="191" t="str">
        <f t="shared" si="2"/>
        <v>Tue</v>
      </c>
      <c r="C97" s="115">
        <v>42178</v>
      </c>
      <c r="D97" s="169">
        <v>0.30277777777777776</v>
      </c>
      <c r="E97" s="191" t="s">
        <v>48</v>
      </c>
      <c r="F97" s="215" t="s">
        <v>477</v>
      </c>
      <c r="G97" s="191">
        <v>350</v>
      </c>
      <c r="H97" s="117">
        <v>86.26</v>
      </c>
      <c r="I97" s="187">
        <f t="shared" si="3"/>
        <v>30202</v>
      </c>
      <c r="J97" s="117">
        <v>86.17</v>
      </c>
      <c r="K97" s="111" t="s">
        <v>556</v>
      </c>
      <c r="L97" s="195" t="s">
        <v>41</v>
      </c>
    </row>
    <row r="98" spans="1:12" ht="15">
      <c r="A98" s="206">
        <v>90</v>
      </c>
      <c r="B98" s="207" t="str">
        <f t="shared" si="2"/>
        <v>Thu</v>
      </c>
      <c r="C98" s="208">
        <v>42180</v>
      </c>
      <c r="D98" s="209">
        <v>0.28055555555555556</v>
      </c>
      <c r="E98" s="207" t="s">
        <v>52</v>
      </c>
      <c r="F98" s="219" t="s">
        <v>480</v>
      </c>
      <c r="G98" s="207">
        <v>325</v>
      </c>
      <c r="H98" s="211">
        <v>178.65</v>
      </c>
      <c r="I98" s="212">
        <f t="shared" si="3"/>
        <v>58072.25</v>
      </c>
      <c r="J98" s="211"/>
      <c r="K98" s="213" t="s">
        <v>557</v>
      </c>
      <c r="L98" s="221" t="s">
        <v>41</v>
      </c>
    </row>
    <row r="99" spans="1:12" ht="15">
      <c r="A99" s="168">
        <v>91</v>
      </c>
      <c r="B99" s="191" t="str">
        <f t="shared" si="2"/>
        <v>Tue</v>
      </c>
      <c r="C99" s="115">
        <v>42185</v>
      </c>
      <c r="D99" s="169">
        <v>0.43472222222222223</v>
      </c>
      <c r="E99" s="191" t="s">
        <v>169</v>
      </c>
      <c r="F99" s="215" t="s">
        <v>494</v>
      </c>
      <c r="G99" s="191">
        <v>140</v>
      </c>
      <c r="H99" s="117">
        <v>65.19</v>
      </c>
      <c r="I99" s="187">
        <f t="shared" si="3"/>
        <v>9137.6</v>
      </c>
      <c r="J99" s="117">
        <v>65</v>
      </c>
      <c r="K99" s="111" t="s">
        <v>558</v>
      </c>
      <c r="L99" s="195" t="s">
        <v>41</v>
      </c>
    </row>
    <row r="100" spans="1:12" ht="15">
      <c r="A100" s="206">
        <v>92</v>
      </c>
      <c r="B100" s="207" t="str">
        <f t="shared" si="2"/>
        <v>Wed</v>
      </c>
      <c r="C100" s="208">
        <v>42186</v>
      </c>
      <c r="D100" s="209">
        <v>0.37847222222222227</v>
      </c>
      <c r="E100" s="207" t="s">
        <v>80</v>
      </c>
      <c r="F100" s="219" t="s">
        <v>559</v>
      </c>
      <c r="G100" s="207">
        <v>320</v>
      </c>
      <c r="H100" s="211">
        <v>111.51</v>
      </c>
      <c r="I100" s="212">
        <f t="shared" si="3"/>
        <v>35694.200000000004</v>
      </c>
      <c r="J100" s="211">
        <v>111.6</v>
      </c>
      <c r="K100" s="213" t="s">
        <v>560</v>
      </c>
      <c r="L100" s="221" t="s">
        <v>41</v>
      </c>
    </row>
    <row r="101" spans="1:12" ht="15">
      <c r="A101" s="168">
        <v>93</v>
      </c>
      <c r="B101" s="191" t="str">
        <f t="shared" si="2"/>
        <v>Mon</v>
      </c>
      <c r="C101" s="115">
        <v>42191</v>
      </c>
      <c r="D101" s="169">
        <v>0.2777777777777778</v>
      </c>
      <c r="E101" s="191" t="s">
        <v>59</v>
      </c>
      <c r="F101" s="215" t="s">
        <v>490</v>
      </c>
      <c r="G101" s="191">
        <v>640</v>
      </c>
      <c r="H101" s="117">
        <v>55.4</v>
      </c>
      <c r="I101" s="187">
        <f t="shared" si="3"/>
        <v>35467</v>
      </c>
      <c r="J101" s="117">
        <v>44.35</v>
      </c>
      <c r="K101" s="111" t="s">
        <v>495</v>
      </c>
      <c r="L101" s="170" t="s">
        <v>42</v>
      </c>
    </row>
    <row r="102" spans="1:12" ht="15">
      <c r="A102" s="206">
        <v>94</v>
      </c>
      <c r="B102" s="207" t="str">
        <f t="shared" si="2"/>
        <v>Fri</v>
      </c>
      <c r="C102" s="208">
        <v>42195</v>
      </c>
      <c r="D102" s="209">
        <v>0.27569444444444446</v>
      </c>
      <c r="E102" s="207" t="s">
        <v>66</v>
      </c>
      <c r="F102" s="219" t="s">
        <v>561</v>
      </c>
      <c r="G102" s="207">
        <v>370</v>
      </c>
      <c r="H102" s="211">
        <v>44.78</v>
      </c>
      <c r="I102" s="212">
        <f t="shared" si="3"/>
        <v>16579.600000000002</v>
      </c>
      <c r="J102" s="211">
        <v>44.7</v>
      </c>
      <c r="K102" s="213" t="s">
        <v>562</v>
      </c>
      <c r="L102" s="214" t="s">
        <v>42</v>
      </c>
    </row>
    <row r="103" spans="1:12" ht="15">
      <c r="A103" s="182">
        <v>95</v>
      </c>
      <c r="B103" s="191" t="str">
        <f t="shared" si="2"/>
        <v>Mon</v>
      </c>
      <c r="C103" s="184">
        <v>42198</v>
      </c>
      <c r="D103" s="185">
        <v>0.2722222222222222</v>
      </c>
      <c r="E103" s="191" t="s">
        <v>66</v>
      </c>
      <c r="F103" s="215" t="s">
        <v>561</v>
      </c>
      <c r="G103" s="191">
        <v>370</v>
      </c>
      <c r="H103" s="186">
        <v>46.9</v>
      </c>
      <c r="I103" s="187">
        <f t="shared" si="3"/>
        <v>17364</v>
      </c>
      <c r="J103" s="186">
        <v>46.65</v>
      </c>
      <c r="K103" s="188" t="s">
        <v>563</v>
      </c>
      <c r="L103" s="170" t="s">
        <v>42</v>
      </c>
    </row>
    <row r="104" spans="1:12" ht="15">
      <c r="A104" s="181">
        <v>96</v>
      </c>
      <c r="B104" s="191" t="str">
        <f t="shared" si="2"/>
        <v>Thu</v>
      </c>
      <c r="C104" s="115">
        <v>42201</v>
      </c>
      <c r="D104" s="169">
        <v>0.2881944444444445</v>
      </c>
      <c r="E104" s="191" t="s">
        <v>61</v>
      </c>
      <c r="F104" s="215" t="s">
        <v>480</v>
      </c>
      <c r="G104" s="191">
        <v>305</v>
      </c>
      <c r="H104" s="117">
        <v>168.13</v>
      </c>
      <c r="I104" s="187">
        <f t="shared" si="3"/>
        <v>51290.65</v>
      </c>
      <c r="K104" s="111" t="s">
        <v>564</v>
      </c>
      <c r="L104" s="170" t="s">
        <v>42</v>
      </c>
    </row>
    <row r="105" spans="1:12" ht="15">
      <c r="A105" s="168">
        <v>97</v>
      </c>
      <c r="B105" s="191" t="str">
        <f t="shared" si="2"/>
        <v>Thu</v>
      </c>
      <c r="C105" s="115">
        <v>42201</v>
      </c>
      <c r="D105" s="169">
        <v>0.2972222222222222</v>
      </c>
      <c r="E105" s="191" t="s">
        <v>68</v>
      </c>
      <c r="F105" s="215" t="s">
        <v>472</v>
      </c>
      <c r="G105" s="191">
        <v>600</v>
      </c>
      <c r="H105" s="117">
        <v>68.35</v>
      </c>
      <c r="I105" s="187">
        <f t="shared" si="3"/>
        <v>41021</v>
      </c>
      <c r="J105" s="117">
        <v>66.8</v>
      </c>
      <c r="K105" s="111" t="s">
        <v>565</v>
      </c>
      <c r="L105" s="170" t="s">
        <v>42</v>
      </c>
    </row>
    <row r="106" spans="1:12" ht="15">
      <c r="A106" s="182">
        <v>98</v>
      </c>
      <c r="B106" s="191" t="str">
        <f t="shared" si="2"/>
        <v>Fri</v>
      </c>
      <c r="C106" s="184">
        <v>42202</v>
      </c>
      <c r="D106" s="185">
        <v>0.27291666666666664</v>
      </c>
      <c r="E106" s="191" t="s">
        <v>48</v>
      </c>
      <c r="F106" s="215" t="s">
        <v>490</v>
      </c>
      <c r="G106" s="191">
        <v>370</v>
      </c>
      <c r="H106" s="186">
        <v>93.22</v>
      </c>
      <c r="I106" s="187">
        <f t="shared" si="3"/>
        <v>34502.4</v>
      </c>
      <c r="J106" s="186"/>
      <c r="K106" s="188" t="s">
        <v>566</v>
      </c>
      <c r="L106" s="195" t="s">
        <v>41</v>
      </c>
    </row>
    <row r="107" spans="1:12" ht="15">
      <c r="A107" s="182">
        <v>99</v>
      </c>
      <c r="B107" s="191" t="str">
        <f t="shared" si="2"/>
        <v>Fri</v>
      </c>
      <c r="C107" s="184">
        <v>42202</v>
      </c>
      <c r="D107" s="185">
        <v>0.28541666666666665</v>
      </c>
      <c r="E107" s="191" t="s">
        <v>68</v>
      </c>
      <c r="F107" s="215" t="s">
        <v>475</v>
      </c>
      <c r="G107" s="191">
        <v>350</v>
      </c>
      <c r="H107" s="186">
        <v>69.54</v>
      </c>
      <c r="I107" s="187">
        <f t="shared" si="3"/>
        <v>24350.000000000004</v>
      </c>
      <c r="J107" s="186" t="s">
        <v>567</v>
      </c>
      <c r="K107" s="188" t="s">
        <v>568</v>
      </c>
      <c r="L107" s="195" t="s">
        <v>41</v>
      </c>
    </row>
    <row r="108" spans="1:12" ht="15">
      <c r="A108" s="206">
        <v>100</v>
      </c>
      <c r="B108" s="207" t="str">
        <f t="shared" si="2"/>
        <v>Fri</v>
      </c>
      <c r="C108" s="208">
        <v>42202</v>
      </c>
      <c r="D108" s="209">
        <v>0.46527777777777773</v>
      </c>
      <c r="E108" s="207" t="s">
        <v>68</v>
      </c>
      <c r="F108" s="219" t="s">
        <v>477</v>
      </c>
      <c r="G108" s="207">
        <v>230</v>
      </c>
      <c r="H108" s="211">
        <v>71.51</v>
      </c>
      <c r="I108" s="212">
        <f t="shared" si="3"/>
        <v>16458.300000000003</v>
      </c>
      <c r="J108" s="211">
        <v>71.4</v>
      </c>
      <c r="K108" s="213" t="s">
        <v>569</v>
      </c>
      <c r="L108" s="221" t="s">
        <v>41</v>
      </c>
    </row>
    <row r="109" spans="1:12" ht="15">
      <c r="A109" s="222">
        <v>101</v>
      </c>
      <c r="B109" s="223" t="str">
        <f t="shared" si="2"/>
        <v>Wed</v>
      </c>
      <c r="C109" s="224">
        <v>42207</v>
      </c>
      <c r="D109" s="225">
        <v>0.5222222222222223</v>
      </c>
      <c r="E109" s="223" t="s">
        <v>80</v>
      </c>
      <c r="F109" s="226" t="s">
        <v>570</v>
      </c>
      <c r="G109" s="223">
        <v>250</v>
      </c>
      <c r="H109" s="227">
        <v>125.19</v>
      </c>
      <c r="I109" s="228">
        <f t="shared" si="3"/>
        <v>31308.5</v>
      </c>
      <c r="J109" s="227"/>
      <c r="K109" s="229" t="s">
        <v>571</v>
      </c>
      <c r="L109" s="233" t="s">
        <v>41</v>
      </c>
    </row>
    <row r="110" spans="1:12" ht="15">
      <c r="A110" s="168">
        <v>102</v>
      </c>
      <c r="B110" s="191" t="str">
        <f t="shared" si="2"/>
        <v>Thu</v>
      </c>
      <c r="C110" s="115">
        <v>42215</v>
      </c>
      <c r="D110" s="169">
        <v>0.2888888888888889</v>
      </c>
      <c r="E110" s="191" t="s">
        <v>80</v>
      </c>
      <c r="F110" s="215" t="s">
        <v>572</v>
      </c>
      <c r="G110" s="191">
        <v>300</v>
      </c>
      <c r="H110" s="117">
        <v>143.4</v>
      </c>
      <c r="I110" s="187">
        <f t="shared" si="3"/>
        <v>43031</v>
      </c>
      <c r="K110" s="111" t="s">
        <v>573</v>
      </c>
      <c r="L110" s="170" t="s">
        <v>42</v>
      </c>
    </row>
    <row r="111" spans="1:12" ht="15">
      <c r="A111" s="168">
        <v>103</v>
      </c>
      <c r="B111" s="191" t="str">
        <f t="shared" si="2"/>
        <v>Thu</v>
      </c>
      <c r="C111" s="115">
        <v>42215</v>
      </c>
      <c r="D111" s="169">
        <v>0.32430555555555557</v>
      </c>
      <c r="E111" s="191" t="s">
        <v>68</v>
      </c>
      <c r="F111" s="215" t="s">
        <v>490</v>
      </c>
      <c r="G111" s="191">
        <v>240</v>
      </c>
      <c r="H111" s="117">
        <v>76.97</v>
      </c>
      <c r="I111" s="187">
        <f t="shared" si="3"/>
        <v>18483.8</v>
      </c>
      <c r="J111" s="117">
        <v>76.7</v>
      </c>
      <c r="K111" s="111" t="s">
        <v>574</v>
      </c>
      <c r="L111" s="170" t="s">
        <v>42</v>
      </c>
    </row>
    <row r="112" spans="1:12" ht="15">
      <c r="A112" s="206">
        <v>104</v>
      </c>
      <c r="B112" s="207" t="str">
        <f t="shared" si="2"/>
        <v>Thu</v>
      </c>
      <c r="C112" s="208">
        <v>42215</v>
      </c>
      <c r="D112" s="209">
        <v>0.35833333333333334</v>
      </c>
      <c r="E112" s="207" t="s">
        <v>66</v>
      </c>
      <c r="F112" s="219" t="s">
        <v>494</v>
      </c>
      <c r="G112" s="207">
        <v>450</v>
      </c>
      <c r="H112" s="211">
        <v>48.42</v>
      </c>
      <c r="I112" s="212">
        <f t="shared" si="3"/>
        <v>21800</v>
      </c>
      <c r="J112" s="211"/>
      <c r="K112" s="213" t="s">
        <v>575</v>
      </c>
      <c r="L112" s="214" t="s">
        <v>42</v>
      </c>
    </row>
    <row r="113" spans="1:12" ht="15">
      <c r="A113" s="182">
        <v>105</v>
      </c>
      <c r="B113" s="191" t="str">
        <f t="shared" si="2"/>
        <v>Tue</v>
      </c>
      <c r="C113" s="184">
        <v>42220</v>
      </c>
      <c r="D113" s="185">
        <v>0.2722222222222222</v>
      </c>
      <c r="E113" s="191" t="s">
        <v>68</v>
      </c>
      <c r="F113" s="215" t="s">
        <v>494</v>
      </c>
      <c r="G113" s="191">
        <v>290</v>
      </c>
      <c r="H113" s="186">
        <v>86.35</v>
      </c>
      <c r="I113" s="187">
        <f t="shared" si="3"/>
        <v>25052.5</v>
      </c>
      <c r="J113" s="186"/>
      <c r="K113" s="188" t="s">
        <v>576</v>
      </c>
      <c r="L113" s="170" t="s">
        <v>42</v>
      </c>
    </row>
    <row r="114" spans="1:12" ht="15">
      <c r="A114" s="181">
        <v>106</v>
      </c>
      <c r="B114" s="191" t="str">
        <f t="shared" si="2"/>
        <v>Tue</v>
      </c>
      <c r="C114" s="115">
        <v>42220</v>
      </c>
      <c r="D114" s="169">
        <v>0.29305555555555557</v>
      </c>
      <c r="E114" s="191" t="s">
        <v>169</v>
      </c>
      <c r="F114" s="215" t="s">
        <v>480</v>
      </c>
      <c r="G114" s="191">
        <v>840</v>
      </c>
      <c r="H114" s="117">
        <v>71.25</v>
      </c>
      <c r="I114" s="187">
        <f t="shared" si="3"/>
        <v>59861</v>
      </c>
      <c r="K114" s="111" t="s">
        <v>577</v>
      </c>
      <c r="L114" s="170" t="s">
        <v>42</v>
      </c>
    </row>
    <row r="115" spans="1:12" ht="15">
      <c r="A115" s="181">
        <v>107</v>
      </c>
      <c r="B115" s="191" t="str">
        <f t="shared" si="2"/>
        <v>Tue</v>
      </c>
      <c r="C115" s="115">
        <v>42220</v>
      </c>
      <c r="D115" s="169">
        <v>0.4930555555555556</v>
      </c>
      <c r="E115" s="191" t="s">
        <v>66</v>
      </c>
      <c r="F115" s="215" t="s">
        <v>480</v>
      </c>
      <c r="G115" s="191">
        <v>4890</v>
      </c>
      <c r="H115" s="117">
        <v>52.97</v>
      </c>
      <c r="I115" s="187">
        <f t="shared" si="3"/>
        <v>259034.3</v>
      </c>
      <c r="K115" s="111" t="s">
        <v>578</v>
      </c>
      <c r="L115" s="170" t="s">
        <v>42</v>
      </c>
    </row>
    <row r="116" spans="1:12" ht="15">
      <c r="A116" s="168">
        <v>108</v>
      </c>
      <c r="B116" s="191" t="str">
        <f t="shared" si="2"/>
        <v>Wed</v>
      </c>
      <c r="C116" s="115">
        <v>42221</v>
      </c>
      <c r="D116" s="169">
        <v>0.27638888888888885</v>
      </c>
      <c r="E116" s="191" t="s">
        <v>65</v>
      </c>
      <c r="F116" s="215" t="s">
        <v>472</v>
      </c>
      <c r="G116" s="191">
        <v>2800</v>
      </c>
      <c r="H116" s="117">
        <v>36.01</v>
      </c>
      <c r="I116" s="187">
        <f t="shared" si="3"/>
        <v>100839</v>
      </c>
      <c r="J116" s="117">
        <v>36.85</v>
      </c>
      <c r="K116" s="111" t="s">
        <v>579</v>
      </c>
      <c r="L116" s="170" t="s">
        <v>42</v>
      </c>
    </row>
    <row r="117" spans="1:12" ht="15">
      <c r="A117" s="168">
        <v>109</v>
      </c>
      <c r="B117" s="191" t="str">
        <f t="shared" si="2"/>
        <v>Wed</v>
      </c>
      <c r="C117" s="115">
        <v>42221</v>
      </c>
      <c r="D117" s="169">
        <v>0.31527777777777777</v>
      </c>
      <c r="E117" s="191" t="s">
        <v>65</v>
      </c>
      <c r="F117" s="215" t="s">
        <v>475</v>
      </c>
      <c r="G117" s="191">
        <v>1700</v>
      </c>
      <c r="H117" s="117">
        <v>37.24</v>
      </c>
      <c r="I117" s="187">
        <f t="shared" si="3"/>
        <v>63319</v>
      </c>
      <c r="J117" s="117">
        <v>37.1</v>
      </c>
      <c r="K117" s="111" t="s">
        <v>580</v>
      </c>
      <c r="L117" s="170" t="s">
        <v>42</v>
      </c>
    </row>
    <row r="118" spans="1:12" ht="15">
      <c r="A118" s="168">
        <v>110</v>
      </c>
      <c r="B118" s="191" t="str">
        <f t="shared" si="2"/>
        <v>Wed</v>
      </c>
      <c r="C118" s="115">
        <v>42221</v>
      </c>
      <c r="D118" s="169">
        <v>0.3576388888888889</v>
      </c>
      <c r="E118" s="191" t="s">
        <v>65</v>
      </c>
      <c r="F118" s="215" t="s">
        <v>477</v>
      </c>
      <c r="G118" s="191">
        <v>1000</v>
      </c>
      <c r="H118" s="117">
        <v>37.53</v>
      </c>
      <c r="I118" s="187">
        <f t="shared" si="3"/>
        <v>37541</v>
      </c>
      <c r="J118" s="117">
        <v>37.5</v>
      </c>
      <c r="K118" s="111" t="s">
        <v>581</v>
      </c>
      <c r="L118" s="170" t="s">
        <v>42</v>
      </c>
    </row>
    <row r="119" spans="1:12" ht="15">
      <c r="A119" s="234">
        <v>111</v>
      </c>
      <c r="B119" s="191" t="str">
        <f t="shared" si="2"/>
        <v>Wed</v>
      </c>
      <c r="C119" s="115">
        <v>42221</v>
      </c>
      <c r="D119" s="169">
        <v>0.3666666666666667</v>
      </c>
      <c r="E119" s="191" t="s">
        <v>40</v>
      </c>
      <c r="F119" s="235" t="s">
        <v>357</v>
      </c>
      <c r="G119" s="191">
        <v>500</v>
      </c>
      <c r="H119" s="117">
        <v>217.87</v>
      </c>
      <c r="I119" s="187">
        <f t="shared" si="3"/>
        <v>108946</v>
      </c>
      <c r="K119" s="111" t="s">
        <v>582</v>
      </c>
      <c r="L119" s="170" t="s">
        <v>42</v>
      </c>
    </row>
    <row r="120" spans="1:12" ht="15">
      <c r="A120" s="206">
        <v>112</v>
      </c>
      <c r="B120" s="207" t="str">
        <f t="shared" si="2"/>
        <v>Thu</v>
      </c>
      <c r="C120" s="208">
        <v>42222</v>
      </c>
      <c r="D120" s="209">
        <v>0.4923611111111111</v>
      </c>
      <c r="E120" s="207" t="s">
        <v>59</v>
      </c>
      <c r="F120" s="219" t="s">
        <v>494</v>
      </c>
      <c r="G120" s="207">
        <v>770</v>
      </c>
      <c r="H120" s="211">
        <v>58.18</v>
      </c>
      <c r="I120" s="212">
        <f t="shared" si="3"/>
        <v>44809.6</v>
      </c>
      <c r="J120" s="211"/>
      <c r="K120" s="213" t="s">
        <v>583</v>
      </c>
      <c r="L120" s="214" t="s">
        <v>42</v>
      </c>
    </row>
    <row r="121" spans="1:12" ht="15">
      <c r="A121" s="236">
        <v>113</v>
      </c>
      <c r="B121" s="223" t="str">
        <f t="shared" si="2"/>
        <v>Tue</v>
      </c>
      <c r="C121" s="224">
        <v>42227</v>
      </c>
      <c r="D121" s="225">
        <v>0.2777777777777778</v>
      </c>
      <c r="E121" s="223" t="s">
        <v>356</v>
      </c>
      <c r="F121" s="237" t="s">
        <v>357</v>
      </c>
      <c r="G121" s="223">
        <v>750</v>
      </c>
      <c r="H121" s="227">
        <v>115.2</v>
      </c>
      <c r="I121" s="228">
        <f t="shared" si="3"/>
        <v>86411</v>
      </c>
      <c r="J121" s="227"/>
      <c r="K121" s="229" t="s">
        <v>584</v>
      </c>
      <c r="L121" s="230" t="s">
        <v>42</v>
      </c>
    </row>
    <row r="122" spans="1:12" s="113" customFormat="1" ht="15">
      <c r="A122" s="204">
        <v>114</v>
      </c>
      <c r="B122" s="191" t="str">
        <f t="shared" si="2"/>
        <v>Mon</v>
      </c>
      <c r="C122" s="238">
        <v>42233</v>
      </c>
      <c r="D122" s="239">
        <v>0.53125</v>
      </c>
      <c r="E122" s="191" t="s">
        <v>59</v>
      </c>
      <c r="F122" s="215" t="s">
        <v>480</v>
      </c>
      <c r="G122" s="191">
        <v>4610</v>
      </c>
      <c r="H122" s="240">
        <v>64.14</v>
      </c>
      <c r="I122" s="187">
        <f t="shared" si="3"/>
        <v>295696.4</v>
      </c>
      <c r="J122" s="240"/>
      <c r="K122" s="241" t="s">
        <v>585</v>
      </c>
      <c r="L122" s="170" t="s">
        <v>42</v>
      </c>
    </row>
    <row r="123" spans="1:12" ht="15">
      <c r="A123" s="181">
        <v>115</v>
      </c>
      <c r="B123" s="191" t="str">
        <f t="shared" si="2"/>
        <v>Tue</v>
      </c>
      <c r="C123" s="115">
        <v>42234</v>
      </c>
      <c r="D123" s="169">
        <v>0.5298611111111111</v>
      </c>
      <c r="E123" s="191" t="s">
        <v>80</v>
      </c>
      <c r="F123" s="215" t="s">
        <v>480</v>
      </c>
      <c r="G123" s="191">
        <v>1810</v>
      </c>
      <c r="H123" s="117">
        <v>154.26</v>
      </c>
      <c r="I123" s="187">
        <f t="shared" si="3"/>
        <v>279221.6</v>
      </c>
      <c r="K123" s="111" t="s">
        <v>586</v>
      </c>
      <c r="L123" s="170" t="s">
        <v>42</v>
      </c>
    </row>
    <row r="124" spans="1:12" ht="15">
      <c r="A124" s="234">
        <v>116</v>
      </c>
      <c r="B124" s="191" t="str">
        <f t="shared" si="2"/>
        <v>Wed</v>
      </c>
      <c r="C124" s="115">
        <v>42235</v>
      </c>
      <c r="D124" s="169">
        <v>0.4993055555555555</v>
      </c>
      <c r="E124" s="191" t="s">
        <v>36</v>
      </c>
      <c r="F124" s="235" t="s">
        <v>357</v>
      </c>
      <c r="G124" s="191">
        <v>400</v>
      </c>
      <c r="H124" s="117">
        <v>256.06</v>
      </c>
      <c r="I124" s="187">
        <f t="shared" si="3"/>
        <v>102435</v>
      </c>
      <c r="K124" s="111" t="s">
        <v>587</v>
      </c>
      <c r="L124" s="170" t="s">
        <v>42</v>
      </c>
    </row>
    <row r="125" spans="1:12" ht="15">
      <c r="A125" s="181">
        <v>117</v>
      </c>
      <c r="B125" s="191" t="str">
        <f t="shared" si="2"/>
        <v>Fri</v>
      </c>
      <c r="C125" s="115">
        <v>42237</v>
      </c>
      <c r="D125" s="169">
        <v>0.33194444444444443</v>
      </c>
      <c r="E125" s="191" t="s">
        <v>48</v>
      </c>
      <c r="F125" s="215" t="s">
        <v>480</v>
      </c>
      <c r="G125" s="191">
        <v>2200</v>
      </c>
      <c r="H125" s="117">
        <v>87.59</v>
      </c>
      <c r="I125" s="187">
        <f t="shared" si="3"/>
        <v>192709</v>
      </c>
      <c r="K125" s="111" t="s">
        <v>588</v>
      </c>
      <c r="L125" s="170" t="s">
        <v>42</v>
      </c>
    </row>
    <row r="126" spans="1:12" ht="15">
      <c r="A126" s="181">
        <v>118</v>
      </c>
      <c r="B126" s="191" t="str">
        <f t="shared" si="2"/>
        <v>Fri</v>
      </c>
      <c r="C126" s="115">
        <v>42237</v>
      </c>
      <c r="D126" s="169">
        <v>0.49583333333333335</v>
      </c>
      <c r="E126" s="191" t="s">
        <v>208</v>
      </c>
      <c r="F126" s="215" t="s">
        <v>480</v>
      </c>
      <c r="G126" s="191">
        <v>185</v>
      </c>
      <c r="H126" s="117">
        <v>240.24</v>
      </c>
      <c r="I126" s="187">
        <f t="shared" si="3"/>
        <v>44455.4</v>
      </c>
      <c r="K126" s="111" t="s">
        <v>589</v>
      </c>
      <c r="L126" s="170" t="s">
        <v>42</v>
      </c>
    </row>
    <row r="127" spans="1:12" ht="15">
      <c r="A127" s="220">
        <v>119</v>
      </c>
      <c r="B127" s="207" t="str">
        <f t="shared" si="2"/>
        <v>Fri</v>
      </c>
      <c r="C127" s="208">
        <v>42237</v>
      </c>
      <c r="D127" s="209">
        <v>0.5402777777777777</v>
      </c>
      <c r="E127" s="207" t="s">
        <v>68</v>
      </c>
      <c r="F127" s="219" t="s">
        <v>480</v>
      </c>
      <c r="G127" s="207">
        <v>1710</v>
      </c>
      <c r="H127" s="211">
        <v>97.38</v>
      </c>
      <c r="I127" s="212">
        <f t="shared" si="3"/>
        <v>166530.8</v>
      </c>
      <c r="J127" s="211"/>
      <c r="K127" s="213" t="s">
        <v>590</v>
      </c>
      <c r="L127" s="214" t="s">
        <v>42</v>
      </c>
    </row>
    <row r="128" spans="1:12" ht="15">
      <c r="A128" s="242">
        <v>120</v>
      </c>
      <c r="B128" s="191" t="str">
        <f t="shared" si="2"/>
        <v>Mon</v>
      </c>
      <c r="C128" s="115">
        <v>42240</v>
      </c>
      <c r="D128" s="169">
        <v>0.2722222222222222</v>
      </c>
      <c r="E128" s="191" t="s">
        <v>36</v>
      </c>
      <c r="F128" s="235" t="s">
        <v>591</v>
      </c>
      <c r="G128" s="191">
        <v>400</v>
      </c>
      <c r="H128" s="117">
        <v>200</v>
      </c>
      <c r="I128" s="187">
        <f t="shared" si="3"/>
        <v>80011</v>
      </c>
      <c r="K128" s="111" t="s">
        <v>592</v>
      </c>
      <c r="L128" s="231" t="s">
        <v>30</v>
      </c>
    </row>
    <row r="129" spans="1:12" ht="15">
      <c r="A129" s="242">
        <v>121</v>
      </c>
      <c r="B129" s="191" t="str">
        <f t="shared" si="2"/>
        <v>Mon</v>
      </c>
      <c r="C129" s="115">
        <v>42240</v>
      </c>
      <c r="D129" s="169">
        <v>0.2798611111111111</v>
      </c>
      <c r="E129" s="191" t="s">
        <v>356</v>
      </c>
      <c r="F129" s="235" t="s">
        <v>591</v>
      </c>
      <c r="G129" s="191">
        <v>750</v>
      </c>
      <c r="H129" s="117">
        <v>90.07</v>
      </c>
      <c r="I129" s="187">
        <f t="shared" si="3"/>
        <v>67563.5</v>
      </c>
      <c r="K129" s="111" t="s">
        <v>593</v>
      </c>
      <c r="L129" s="231" t="s">
        <v>30</v>
      </c>
    </row>
    <row r="130" spans="1:12" ht="15">
      <c r="A130" s="168">
        <v>122</v>
      </c>
      <c r="B130" s="191" t="str">
        <f t="shared" si="2"/>
        <v>Wed</v>
      </c>
      <c r="C130" s="84">
        <v>42242</v>
      </c>
      <c r="D130" s="243">
        <v>0.48333333333333334</v>
      </c>
      <c r="E130" s="191" t="s">
        <v>383</v>
      </c>
      <c r="F130" s="215" t="s">
        <v>472</v>
      </c>
      <c r="G130" s="191">
        <v>1600</v>
      </c>
      <c r="H130" s="117">
        <v>64.98</v>
      </c>
      <c r="I130" s="187">
        <f t="shared" si="3"/>
        <v>103979</v>
      </c>
      <c r="J130" s="117">
        <v>65.25</v>
      </c>
      <c r="K130" s="111" t="s">
        <v>594</v>
      </c>
      <c r="L130" s="231" t="s">
        <v>30</v>
      </c>
    </row>
    <row r="131" spans="1:12" ht="15">
      <c r="A131" s="168">
        <v>123</v>
      </c>
      <c r="B131" s="191" t="str">
        <f t="shared" si="2"/>
        <v>Wed</v>
      </c>
      <c r="C131" s="115">
        <v>42242</v>
      </c>
      <c r="D131" s="169">
        <v>0.4875</v>
      </c>
      <c r="E131" s="191" t="s">
        <v>40</v>
      </c>
      <c r="F131" s="235" t="s">
        <v>591</v>
      </c>
      <c r="G131" s="191">
        <v>500</v>
      </c>
      <c r="H131" s="117">
        <v>193.04</v>
      </c>
      <c r="I131" s="187">
        <f t="shared" si="3"/>
        <v>96531</v>
      </c>
      <c r="K131" s="111" t="s">
        <v>595</v>
      </c>
      <c r="L131" s="231" t="s">
        <v>30</v>
      </c>
    </row>
    <row r="132" spans="1:12" ht="15">
      <c r="A132" s="168">
        <v>124</v>
      </c>
      <c r="B132" s="191" t="str">
        <f t="shared" si="2"/>
        <v>Wed</v>
      </c>
      <c r="C132" s="115">
        <v>42242</v>
      </c>
      <c r="D132" s="169">
        <v>0.5361111111111111</v>
      </c>
      <c r="E132" s="191" t="s">
        <v>383</v>
      </c>
      <c r="F132" s="215" t="s">
        <v>475</v>
      </c>
      <c r="G132" s="191">
        <v>900</v>
      </c>
      <c r="H132" s="117">
        <v>67.31</v>
      </c>
      <c r="I132" s="187">
        <f t="shared" si="3"/>
        <v>60590</v>
      </c>
      <c r="J132" s="117">
        <v>66.6</v>
      </c>
      <c r="K132" s="111" t="s">
        <v>549</v>
      </c>
      <c r="L132" s="231" t="s">
        <v>30</v>
      </c>
    </row>
    <row r="133" spans="1:12" ht="15">
      <c r="A133" s="168">
        <v>125</v>
      </c>
      <c r="B133" s="191" t="str">
        <f t="shared" si="2"/>
        <v>Thu</v>
      </c>
      <c r="C133" s="115">
        <v>42243</v>
      </c>
      <c r="D133" s="169">
        <v>0.3201388888888889</v>
      </c>
      <c r="E133" s="191" t="s">
        <v>383</v>
      </c>
      <c r="F133" s="215" t="s">
        <v>477</v>
      </c>
      <c r="G133" s="191">
        <v>570</v>
      </c>
      <c r="H133" s="117">
        <v>69.5</v>
      </c>
      <c r="I133" s="187">
        <f t="shared" si="3"/>
        <v>39626</v>
      </c>
      <c r="J133" s="117">
        <v>69.4</v>
      </c>
      <c r="K133" s="111" t="s">
        <v>596</v>
      </c>
      <c r="L133" s="231" t="s">
        <v>30</v>
      </c>
    </row>
    <row r="134" spans="1:12" ht="15">
      <c r="A134" s="206">
        <v>126</v>
      </c>
      <c r="B134" s="207" t="str">
        <f t="shared" si="2"/>
        <v>Fri</v>
      </c>
      <c r="C134" s="208">
        <v>42244</v>
      </c>
      <c r="D134" s="209">
        <v>0.3652777777777778</v>
      </c>
      <c r="E134" s="207" t="s">
        <v>388</v>
      </c>
      <c r="F134" s="219" t="s">
        <v>472</v>
      </c>
      <c r="G134" s="207">
        <v>720</v>
      </c>
      <c r="H134" s="211">
        <v>138.88</v>
      </c>
      <c r="I134" s="212">
        <f t="shared" si="3"/>
        <v>100004.59999999999</v>
      </c>
      <c r="J134" s="211">
        <v>139.03</v>
      </c>
      <c r="K134" s="213" t="s">
        <v>597</v>
      </c>
      <c r="L134" s="244" t="s">
        <v>30</v>
      </c>
    </row>
    <row r="135" spans="1:12" ht="15">
      <c r="A135" s="222">
        <v>127</v>
      </c>
      <c r="B135" s="223" t="str">
        <f t="shared" si="2"/>
        <v>Thu</v>
      </c>
      <c r="C135" s="224">
        <v>42250</v>
      </c>
      <c r="D135" s="225">
        <v>0.32430555555555557</v>
      </c>
      <c r="E135" s="223" t="s">
        <v>390</v>
      </c>
      <c r="F135" s="226" t="s">
        <v>472</v>
      </c>
      <c r="G135" s="223">
        <v>1350</v>
      </c>
      <c r="H135" s="227">
        <v>74.24</v>
      </c>
      <c r="I135" s="228">
        <f t="shared" si="3"/>
        <v>100235</v>
      </c>
      <c r="J135" s="227">
        <v>74.08</v>
      </c>
      <c r="K135" s="229" t="s">
        <v>598</v>
      </c>
      <c r="L135" s="245" t="s">
        <v>30</v>
      </c>
    </row>
    <row r="136" spans="1:12" ht="15">
      <c r="A136" s="168">
        <v>128</v>
      </c>
      <c r="B136" s="191" t="str">
        <f t="shared" si="2"/>
        <v>Tue</v>
      </c>
      <c r="C136" s="115">
        <v>42255</v>
      </c>
      <c r="D136" s="169">
        <v>0.47430555555555554</v>
      </c>
      <c r="E136" s="191" t="s">
        <v>388</v>
      </c>
      <c r="F136" s="215" t="s">
        <v>475</v>
      </c>
      <c r="G136" s="191">
        <v>430</v>
      </c>
      <c r="H136" s="117">
        <v>141.06</v>
      </c>
      <c r="I136" s="187">
        <f t="shared" si="3"/>
        <v>60666.8</v>
      </c>
      <c r="J136" s="117">
        <v>141</v>
      </c>
      <c r="K136" s="111" t="s">
        <v>599</v>
      </c>
      <c r="L136" s="231" t="s">
        <v>30</v>
      </c>
    </row>
    <row r="137" spans="1:12" ht="15">
      <c r="A137" s="168">
        <v>129</v>
      </c>
      <c r="B137" s="191" t="str">
        <f t="shared" si="2"/>
        <v>Tue</v>
      </c>
      <c r="C137" s="115">
        <v>42255</v>
      </c>
      <c r="D137" s="169">
        <v>0.49652777777777773</v>
      </c>
      <c r="E137" s="191" t="s">
        <v>390</v>
      </c>
      <c r="F137" s="215" t="s">
        <v>475</v>
      </c>
      <c r="G137" s="191">
        <v>790</v>
      </c>
      <c r="H137" s="117">
        <v>76.19</v>
      </c>
      <c r="I137" s="187">
        <f t="shared" si="3"/>
        <v>60201.1</v>
      </c>
      <c r="J137" s="117">
        <v>75.9</v>
      </c>
      <c r="K137" s="111" t="s">
        <v>600</v>
      </c>
      <c r="L137" s="231" t="s">
        <v>30</v>
      </c>
    </row>
    <row r="138" spans="1:12" ht="15">
      <c r="A138" s="168">
        <v>130</v>
      </c>
      <c r="B138" s="191" t="str">
        <f t="shared" si="2"/>
        <v>Wed</v>
      </c>
      <c r="C138" s="115">
        <v>42256</v>
      </c>
      <c r="D138" s="169">
        <v>0.27569444444444446</v>
      </c>
      <c r="E138" s="191" t="s">
        <v>390</v>
      </c>
      <c r="F138" s="215" t="s">
        <v>477</v>
      </c>
      <c r="G138" s="191">
        <v>510</v>
      </c>
      <c r="H138" s="117">
        <v>77.75</v>
      </c>
      <c r="I138" s="187">
        <f t="shared" si="3"/>
        <v>39663.5</v>
      </c>
      <c r="J138" s="117">
        <v>77.4</v>
      </c>
      <c r="K138" s="111" t="s">
        <v>601</v>
      </c>
      <c r="L138" s="195" t="s">
        <v>41</v>
      </c>
    </row>
    <row r="139" spans="1:12" ht="15">
      <c r="A139" s="206">
        <v>131</v>
      </c>
      <c r="B139" s="207" t="str">
        <f t="shared" si="2"/>
        <v>Thu</v>
      </c>
      <c r="C139" s="208">
        <v>42257</v>
      </c>
      <c r="D139" s="209">
        <v>0.325</v>
      </c>
      <c r="E139" s="207" t="s">
        <v>388</v>
      </c>
      <c r="F139" s="219" t="s">
        <v>477</v>
      </c>
      <c r="G139" s="207">
        <v>280</v>
      </c>
      <c r="H139" s="211">
        <v>143.71</v>
      </c>
      <c r="I139" s="212">
        <f t="shared" si="3"/>
        <v>40249.8</v>
      </c>
      <c r="J139" s="211">
        <v>142.64</v>
      </c>
      <c r="K139" s="213" t="s">
        <v>602</v>
      </c>
      <c r="L139" s="214" t="s">
        <v>42</v>
      </c>
    </row>
    <row r="140" spans="1:12" ht="15">
      <c r="A140" s="182">
        <v>132</v>
      </c>
      <c r="B140" s="191" t="str">
        <f t="shared" si="2"/>
        <v>Tue</v>
      </c>
      <c r="C140" s="184">
        <v>42262</v>
      </c>
      <c r="D140" s="185">
        <v>0.27569444444444446</v>
      </c>
      <c r="E140" s="191" t="s">
        <v>406</v>
      </c>
      <c r="F140" s="215" t="s">
        <v>472</v>
      </c>
      <c r="G140" s="191">
        <v>71.51</v>
      </c>
      <c r="H140" s="186"/>
      <c r="I140" s="187"/>
      <c r="J140" s="186">
        <v>72.5</v>
      </c>
      <c r="K140" s="188" t="s">
        <v>603</v>
      </c>
      <c r="L140" s="170" t="s">
        <v>42</v>
      </c>
    </row>
    <row r="141" spans="1:12" ht="15">
      <c r="A141" s="246">
        <v>133</v>
      </c>
      <c r="B141" s="207" t="str">
        <f t="shared" si="2"/>
        <v>Wed</v>
      </c>
      <c r="C141" s="208">
        <v>42263</v>
      </c>
      <c r="D141" s="209">
        <v>0.5361111111111111</v>
      </c>
      <c r="E141" s="207" t="s">
        <v>65</v>
      </c>
      <c r="F141" s="219" t="s">
        <v>480</v>
      </c>
      <c r="G141" s="207">
        <v>5500</v>
      </c>
      <c r="H141" s="211">
        <v>38.03</v>
      </c>
      <c r="I141" s="212">
        <f t="shared" si="3"/>
        <v>209176</v>
      </c>
      <c r="J141" s="211"/>
      <c r="K141" s="213" t="s">
        <v>604</v>
      </c>
      <c r="L141" s="214" t="s">
        <v>42</v>
      </c>
    </row>
    <row r="142" spans="1:12" ht="15">
      <c r="A142" s="247">
        <v>134</v>
      </c>
      <c r="B142" s="191" t="str">
        <f t="shared" si="2"/>
        <v>Mon</v>
      </c>
      <c r="C142" s="115">
        <v>42268</v>
      </c>
      <c r="D142" s="169">
        <v>0.3013888888888889</v>
      </c>
      <c r="E142" s="191" t="s">
        <v>418</v>
      </c>
      <c r="F142" s="215" t="s">
        <v>472</v>
      </c>
      <c r="G142" s="191">
        <v>4900</v>
      </c>
      <c r="H142" s="117">
        <v>20.45</v>
      </c>
      <c r="I142" s="187">
        <f t="shared" si="3"/>
        <v>100216</v>
      </c>
      <c r="J142" s="117">
        <v>20.42</v>
      </c>
      <c r="K142" s="111" t="s">
        <v>605</v>
      </c>
      <c r="L142" s="170" t="s">
        <v>42</v>
      </c>
    </row>
    <row r="143" spans="1:12" ht="15">
      <c r="A143" s="248">
        <v>135</v>
      </c>
      <c r="B143" s="191" t="str">
        <f t="shared" si="2"/>
        <v>Tue</v>
      </c>
      <c r="C143" s="115">
        <v>42269</v>
      </c>
      <c r="D143" s="169">
        <v>0.5354166666666667</v>
      </c>
      <c r="E143" s="191" t="s">
        <v>418</v>
      </c>
      <c r="F143" s="215" t="s">
        <v>518</v>
      </c>
      <c r="G143" s="191">
        <v>4900</v>
      </c>
      <c r="H143" s="117">
        <v>19.77</v>
      </c>
      <c r="I143" s="187">
        <f t="shared" si="3"/>
        <v>96884</v>
      </c>
      <c r="K143" s="111" t="s">
        <v>606</v>
      </c>
      <c r="L143" s="170" t="s">
        <v>42</v>
      </c>
    </row>
    <row r="144" spans="1:12" ht="15">
      <c r="A144" s="247">
        <v>136</v>
      </c>
      <c r="B144" s="191" t="str">
        <f t="shared" si="2"/>
        <v>Fri</v>
      </c>
      <c r="C144" s="115">
        <v>42272</v>
      </c>
      <c r="D144" s="169">
        <v>0.27638888888888885</v>
      </c>
      <c r="E144" s="191" t="s">
        <v>73</v>
      </c>
      <c r="F144" s="215" t="s">
        <v>472</v>
      </c>
      <c r="G144" s="191">
        <v>3600</v>
      </c>
      <c r="H144" s="117">
        <v>28.4</v>
      </c>
      <c r="I144" s="187">
        <f t="shared" si="3"/>
        <v>102251</v>
      </c>
      <c r="J144" s="117">
        <v>28.6</v>
      </c>
      <c r="K144" s="111" t="s">
        <v>607</v>
      </c>
      <c r="L144" s="170" t="s">
        <v>42</v>
      </c>
    </row>
    <row r="145" spans="1:12" ht="15">
      <c r="A145" s="249">
        <v>137</v>
      </c>
      <c r="B145" s="191" t="str">
        <f t="shared" si="2"/>
        <v>Fri</v>
      </c>
      <c r="C145" s="184">
        <v>42272</v>
      </c>
      <c r="D145" s="185">
        <v>0.38680555555555557</v>
      </c>
      <c r="E145" s="191" t="s">
        <v>406</v>
      </c>
      <c r="F145" s="215" t="s">
        <v>475</v>
      </c>
      <c r="G145" s="191">
        <v>820</v>
      </c>
      <c r="H145" s="186">
        <v>73.36</v>
      </c>
      <c r="I145" s="187">
        <f t="shared" si="3"/>
        <v>60166.2</v>
      </c>
      <c r="J145" s="186">
        <v>73.5</v>
      </c>
      <c r="K145" s="188" t="s">
        <v>608</v>
      </c>
      <c r="L145" s="170" t="s">
        <v>42</v>
      </c>
    </row>
    <row r="146" spans="1:12" ht="15">
      <c r="A146" s="246">
        <v>138</v>
      </c>
      <c r="B146" s="207" t="str">
        <f t="shared" si="2"/>
        <v>Fri</v>
      </c>
      <c r="C146" s="208">
        <v>42272</v>
      </c>
      <c r="D146" s="209">
        <v>0.5340277777777778</v>
      </c>
      <c r="E146" s="207" t="s">
        <v>390</v>
      </c>
      <c r="F146" s="219" t="s">
        <v>480</v>
      </c>
      <c r="G146" s="207">
        <v>2650</v>
      </c>
      <c r="H146" s="211">
        <v>72.08</v>
      </c>
      <c r="I146" s="212">
        <f t="shared" si="3"/>
        <v>191023</v>
      </c>
      <c r="J146" s="211"/>
      <c r="K146" s="213" t="s">
        <v>609</v>
      </c>
      <c r="L146" s="214" t="s">
        <v>42</v>
      </c>
    </row>
    <row r="147" spans="1:12" ht="15">
      <c r="A147" s="248">
        <v>139</v>
      </c>
      <c r="B147" s="191" t="str">
        <f t="shared" si="2"/>
        <v>Mon</v>
      </c>
      <c r="C147" s="115">
        <v>42275</v>
      </c>
      <c r="D147" s="169">
        <v>0.5333333333333333</v>
      </c>
      <c r="E147" s="191" t="s">
        <v>73</v>
      </c>
      <c r="F147" s="215" t="s">
        <v>518</v>
      </c>
      <c r="G147" s="191">
        <v>3600</v>
      </c>
      <c r="H147" s="117">
        <v>27.35</v>
      </c>
      <c r="I147" s="187">
        <f t="shared" si="3"/>
        <v>98471</v>
      </c>
      <c r="K147" s="111" t="s">
        <v>610</v>
      </c>
      <c r="L147" s="231" t="s">
        <v>30</v>
      </c>
    </row>
    <row r="148" spans="1:12" ht="15">
      <c r="A148" s="247">
        <v>140</v>
      </c>
      <c r="B148" s="191" t="str">
        <f t="shared" si="2"/>
        <v>Wed</v>
      </c>
      <c r="C148" s="115">
        <v>42277</v>
      </c>
      <c r="D148" s="169">
        <v>0.2777777777777778</v>
      </c>
      <c r="E148" s="191" t="s">
        <v>73</v>
      </c>
      <c r="F148" s="215" t="s">
        <v>472</v>
      </c>
      <c r="G148" s="191">
        <v>3500</v>
      </c>
      <c r="H148" s="117">
        <v>28.8</v>
      </c>
      <c r="I148" s="187">
        <f t="shared" si="3"/>
        <v>100811</v>
      </c>
      <c r="J148" s="117">
        <v>28.3</v>
      </c>
      <c r="K148" s="111" t="s">
        <v>611</v>
      </c>
      <c r="L148" s="231" t="s">
        <v>30</v>
      </c>
    </row>
    <row r="149" spans="1:12" ht="15">
      <c r="A149" s="247">
        <v>141</v>
      </c>
      <c r="B149" s="191" t="str">
        <f t="shared" si="2"/>
        <v>Wed</v>
      </c>
      <c r="C149" s="115">
        <v>42277</v>
      </c>
      <c r="D149" s="169">
        <v>0.30972222222222223</v>
      </c>
      <c r="E149" s="191" t="s">
        <v>73</v>
      </c>
      <c r="F149" s="215" t="s">
        <v>475</v>
      </c>
      <c r="G149" s="191">
        <v>2100</v>
      </c>
      <c r="H149" s="117">
        <v>29.12</v>
      </c>
      <c r="I149" s="187">
        <f t="shared" si="3"/>
        <v>61163</v>
      </c>
      <c r="J149" s="117">
        <v>29.1</v>
      </c>
      <c r="K149" s="111" t="s">
        <v>612</v>
      </c>
      <c r="L149" s="231" t="s">
        <v>30</v>
      </c>
    </row>
    <row r="150" spans="1:12" ht="15">
      <c r="A150" s="247">
        <v>142</v>
      </c>
      <c r="B150" s="191" t="str">
        <f t="shared" si="2"/>
        <v>Wed</v>
      </c>
      <c r="C150" s="115">
        <v>42277</v>
      </c>
      <c r="D150" s="169">
        <v>0.34652777777777777</v>
      </c>
      <c r="E150" s="191" t="s">
        <v>73</v>
      </c>
      <c r="F150" s="215" t="s">
        <v>477</v>
      </c>
      <c r="G150" s="191">
        <v>1350</v>
      </c>
      <c r="H150" s="117">
        <v>29.52</v>
      </c>
      <c r="I150" s="187">
        <f t="shared" si="3"/>
        <v>39863</v>
      </c>
      <c r="J150" s="117">
        <v>29.7</v>
      </c>
      <c r="K150" s="111" t="s">
        <v>613</v>
      </c>
      <c r="L150" s="231" t="s">
        <v>30</v>
      </c>
    </row>
    <row r="151" spans="1:12" ht="15">
      <c r="A151" s="247">
        <v>143</v>
      </c>
      <c r="B151" s="191" t="str">
        <f t="shared" si="2"/>
        <v>Thu</v>
      </c>
      <c r="C151" s="115">
        <v>42278</v>
      </c>
      <c r="D151" s="169">
        <v>0.4611111111111111</v>
      </c>
      <c r="E151" s="191" t="s">
        <v>388</v>
      </c>
      <c r="F151" s="215" t="s">
        <v>490</v>
      </c>
      <c r="G151" s="191">
        <v>290</v>
      </c>
      <c r="H151" s="117">
        <v>161.21</v>
      </c>
      <c r="I151" s="187">
        <f t="shared" si="3"/>
        <v>46761.9</v>
      </c>
      <c r="K151" s="111" t="s">
        <v>614</v>
      </c>
      <c r="L151" s="231"/>
    </row>
    <row r="152" spans="1:12" ht="15">
      <c r="A152" s="247">
        <v>144</v>
      </c>
      <c r="B152" s="191" t="str">
        <f t="shared" si="2"/>
        <v>Fri</v>
      </c>
      <c r="C152" s="115">
        <v>42279</v>
      </c>
      <c r="D152" s="169">
        <v>0.49583333333333335</v>
      </c>
      <c r="E152" s="191" t="s">
        <v>63</v>
      </c>
      <c r="F152" s="215" t="s">
        <v>472</v>
      </c>
      <c r="G152" s="191">
        <v>4150</v>
      </c>
      <c r="H152" s="117">
        <v>24.24</v>
      </c>
      <c r="I152" s="187">
        <f t="shared" si="3"/>
        <v>100607</v>
      </c>
      <c r="J152" s="117">
        <v>24.21</v>
      </c>
      <c r="K152" s="111" t="s">
        <v>615</v>
      </c>
      <c r="L152" s="250" t="s">
        <v>616</v>
      </c>
    </row>
    <row r="153" spans="1:12" ht="15">
      <c r="A153" s="247">
        <v>145</v>
      </c>
      <c r="B153" s="191" t="str">
        <f t="shared" si="2"/>
        <v>Fri</v>
      </c>
      <c r="C153" s="115">
        <v>42279</v>
      </c>
      <c r="D153" s="169">
        <v>0.5076388888888889</v>
      </c>
      <c r="E153" s="191" t="s">
        <v>418</v>
      </c>
      <c r="F153" s="215" t="s">
        <v>472</v>
      </c>
      <c r="G153" s="191">
        <v>4800</v>
      </c>
      <c r="H153" s="117">
        <v>20.86</v>
      </c>
      <c r="I153" s="187">
        <f t="shared" si="3"/>
        <v>100139</v>
      </c>
      <c r="J153" s="117">
        <v>20.79</v>
      </c>
      <c r="K153" s="111" t="s">
        <v>617</v>
      </c>
      <c r="L153" s="250" t="s">
        <v>616</v>
      </c>
    </row>
    <row r="154" spans="1:12" ht="15">
      <c r="A154" s="247">
        <v>146</v>
      </c>
      <c r="B154" s="191" t="str">
        <f t="shared" si="2"/>
        <v>Fri</v>
      </c>
      <c r="C154" s="115">
        <v>42279</v>
      </c>
      <c r="D154" s="169">
        <v>0.5333333333333333</v>
      </c>
      <c r="E154" s="191" t="s">
        <v>406</v>
      </c>
      <c r="F154" s="215" t="s">
        <v>477</v>
      </c>
      <c r="G154" s="191">
        <v>550</v>
      </c>
      <c r="H154" s="117">
        <v>73.86</v>
      </c>
      <c r="I154" s="187">
        <f t="shared" si="3"/>
        <v>40634</v>
      </c>
      <c r="J154" s="117">
        <v>74.7</v>
      </c>
      <c r="K154" s="111" t="s">
        <v>618</v>
      </c>
      <c r="L154" s="250" t="s">
        <v>616</v>
      </c>
    </row>
    <row r="155" spans="1:12" ht="15">
      <c r="A155" s="251">
        <v>147</v>
      </c>
      <c r="B155" s="207" t="str">
        <f t="shared" si="2"/>
        <v>Fri</v>
      </c>
      <c r="C155" s="208">
        <v>42279</v>
      </c>
      <c r="D155" s="209">
        <v>0.5361111111111111</v>
      </c>
      <c r="E155" s="207" t="s">
        <v>433</v>
      </c>
      <c r="F155" s="219" t="s">
        <v>472</v>
      </c>
      <c r="G155" s="207">
        <v>550</v>
      </c>
      <c r="H155" s="211">
        <v>182.34</v>
      </c>
      <c r="I155" s="212">
        <f t="shared" si="3"/>
        <v>100298</v>
      </c>
      <c r="J155" s="211">
        <v>182.4</v>
      </c>
      <c r="K155" s="213" t="s">
        <v>619</v>
      </c>
      <c r="L155" s="252" t="s">
        <v>616</v>
      </c>
    </row>
    <row r="156" spans="1:12" ht="15">
      <c r="A156" s="247">
        <v>148</v>
      </c>
      <c r="B156" s="191" t="str">
        <f t="shared" si="2"/>
        <v>Mon</v>
      </c>
      <c r="C156" s="115">
        <v>42282</v>
      </c>
      <c r="D156" s="169">
        <v>0.2743055555555555</v>
      </c>
      <c r="E156" s="191" t="s">
        <v>63</v>
      </c>
      <c r="F156" s="215" t="s">
        <v>475</v>
      </c>
      <c r="G156" s="191">
        <v>2400</v>
      </c>
      <c r="H156" s="117">
        <v>24.95</v>
      </c>
      <c r="I156" s="187">
        <f t="shared" si="3"/>
        <v>59891</v>
      </c>
      <c r="J156" s="117">
        <v>24.8</v>
      </c>
      <c r="L156" s="195" t="s">
        <v>41</v>
      </c>
    </row>
    <row r="157" spans="1:12" ht="15">
      <c r="A157" s="247">
        <v>149</v>
      </c>
      <c r="B157" s="191" t="str">
        <f t="shared" si="2"/>
        <v>Mon</v>
      </c>
      <c r="C157" s="115">
        <v>42282</v>
      </c>
      <c r="D157" s="169">
        <v>0.2923611111111111</v>
      </c>
      <c r="E157" s="191" t="s">
        <v>383</v>
      </c>
      <c r="F157" s="215" t="s">
        <v>490</v>
      </c>
      <c r="G157" s="191">
        <v>620</v>
      </c>
      <c r="H157" s="117">
        <v>73.5</v>
      </c>
      <c r="I157" s="187">
        <f t="shared" si="3"/>
        <v>45581</v>
      </c>
      <c r="J157" s="117">
        <v>73.7</v>
      </c>
      <c r="K157" s="111" t="s">
        <v>620</v>
      </c>
      <c r="L157" s="195" t="s">
        <v>41</v>
      </c>
    </row>
    <row r="158" spans="1:12" ht="15">
      <c r="A158" s="247">
        <v>150</v>
      </c>
      <c r="B158" s="191" t="str">
        <f t="shared" si="2"/>
        <v>Mon</v>
      </c>
      <c r="C158" s="115">
        <v>42282</v>
      </c>
      <c r="D158" s="169">
        <v>0.3736111111111111</v>
      </c>
      <c r="E158" s="191" t="s">
        <v>433</v>
      </c>
      <c r="F158" s="215" t="s">
        <v>475</v>
      </c>
      <c r="G158" s="191">
        <v>320</v>
      </c>
      <c r="H158" s="117">
        <v>187.35</v>
      </c>
      <c r="I158" s="187">
        <f t="shared" si="3"/>
        <v>59963</v>
      </c>
      <c r="J158" s="117">
        <v>186.9</v>
      </c>
      <c r="K158" s="111" t="s">
        <v>621</v>
      </c>
      <c r="L158" s="195" t="s">
        <v>41</v>
      </c>
    </row>
    <row r="159" spans="1:12" ht="15">
      <c r="A159" s="247">
        <v>151</v>
      </c>
      <c r="B159" s="191" t="str">
        <f t="shared" si="2"/>
        <v>Mon</v>
      </c>
      <c r="C159" s="115">
        <v>42282</v>
      </c>
      <c r="D159" s="169">
        <v>0.41111111111111115</v>
      </c>
      <c r="E159" s="191" t="s">
        <v>63</v>
      </c>
      <c r="F159" s="215" t="s">
        <v>477</v>
      </c>
      <c r="G159" s="191">
        <v>1600</v>
      </c>
      <c r="H159" s="117">
        <v>25.39</v>
      </c>
      <c r="I159" s="187">
        <f t="shared" si="3"/>
        <v>40635</v>
      </c>
      <c r="J159" s="117">
        <v>25.3</v>
      </c>
      <c r="K159" s="111" t="s">
        <v>622</v>
      </c>
      <c r="L159" s="195" t="s">
        <v>41</v>
      </c>
    </row>
    <row r="160" spans="1:12" ht="15">
      <c r="A160" s="249">
        <v>152</v>
      </c>
      <c r="B160" s="191" t="str">
        <f t="shared" si="2"/>
        <v>Tue</v>
      </c>
      <c r="C160" s="184">
        <v>42283</v>
      </c>
      <c r="D160" s="185">
        <v>0.47500000000000003</v>
      </c>
      <c r="E160" s="191" t="s">
        <v>418</v>
      </c>
      <c r="F160" s="215" t="s">
        <v>475</v>
      </c>
      <c r="G160" s="191">
        <v>2820</v>
      </c>
      <c r="H160" s="186">
        <v>21.31</v>
      </c>
      <c r="I160" s="187">
        <f t="shared" si="3"/>
        <v>60105.2</v>
      </c>
      <c r="J160" s="186">
        <v>21.31</v>
      </c>
      <c r="K160" s="188" t="s">
        <v>623</v>
      </c>
      <c r="L160" s="195" t="s">
        <v>41</v>
      </c>
    </row>
    <row r="161" spans="1:12" ht="15">
      <c r="A161" s="246">
        <v>153</v>
      </c>
      <c r="B161" s="207" t="str">
        <f t="shared" si="2"/>
        <v>Fri</v>
      </c>
      <c r="C161" s="208">
        <v>42286</v>
      </c>
      <c r="D161" s="209">
        <v>0.5354166666666667</v>
      </c>
      <c r="E161" s="207" t="s">
        <v>433</v>
      </c>
      <c r="F161" s="219" t="s">
        <v>624</v>
      </c>
      <c r="G161" s="207">
        <v>320</v>
      </c>
      <c r="H161" s="211">
        <v>188.07</v>
      </c>
      <c r="I161" s="212">
        <f t="shared" si="3"/>
        <v>60193.399999999994</v>
      </c>
      <c r="J161" s="211"/>
      <c r="K161" s="213" t="s">
        <v>625</v>
      </c>
      <c r="L161" s="221" t="s">
        <v>41</v>
      </c>
    </row>
    <row r="162" spans="1:12" ht="15">
      <c r="A162" s="247">
        <v>154</v>
      </c>
      <c r="B162" s="191" t="str">
        <f t="shared" si="2"/>
        <v>Tue</v>
      </c>
      <c r="C162" s="115">
        <v>42290</v>
      </c>
      <c r="D162" s="169">
        <v>0.29583333333333334</v>
      </c>
      <c r="E162" s="191" t="s">
        <v>418</v>
      </c>
      <c r="F162" s="215" t="s">
        <v>477</v>
      </c>
      <c r="G162" s="191">
        <v>1850</v>
      </c>
      <c r="H162" s="117">
        <v>21.78</v>
      </c>
      <c r="I162" s="187">
        <f t="shared" si="3"/>
        <v>40304</v>
      </c>
      <c r="J162" s="117">
        <v>21.73</v>
      </c>
      <c r="K162" s="111" t="s">
        <v>626</v>
      </c>
      <c r="L162" s="195" t="s">
        <v>41</v>
      </c>
    </row>
    <row r="163" spans="1:12" ht="15">
      <c r="A163" s="251">
        <v>155</v>
      </c>
      <c r="B163" s="207" t="str">
        <f t="shared" si="2"/>
        <v>Thu</v>
      </c>
      <c r="C163" s="208">
        <v>42292</v>
      </c>
      <c r="D163" s="209">
        <v>0.5381944444444444</v>
      </c>
      <c r="E163" s="207" t="s">
        <v>388</v>
      </c>
      <c r="F163" s="219" t="s">
        <v>490</v>
      </c>
      <c r="G163" s="207">
        <v>350</v>
      </c>
      <c r="H163" s="211">
        <v>170.78</v>
      </c>
      <c r="I163" s="212">
        <f t="shared" si="3"/>
        <v>59784</v>
      </c>
      <c r="J163" s="211">
        <v>170.64</v>
      </c>
      <c r="K163" s="213" t="s">
        <v>627</v>
      </c>
      <c r="L163" s="221" t="s">
        <v>41</v>
      </c>
    </row>
    <row r="164" spans="1:12" ht="15">
      <c r="A164" s="253">
        <v>156</v>
      </c>
      <c r="B164" s="191" t="str">
        <f t="shared" si="2"/>
        <v>Fri</v>
      </c>
      <c r="C164" s="115">
        <v>42307</v>
      </c>
      <c r="D164" s="169">
        <v>0.5256944444444445</v>
      </c>
      <c r="E164" s="191" t="s">
        <v>73</v>
      </c>
      <c r="F164" s="215" t="s">
        <v>480</v>
      </c>
      <c r="G164" s="191">
        <v>6950</v>
      </c>
      <c r="H164" s="117">
        <v>31.94</v>
      </c>
      <c r="I164" s="187">
        <f t="shared" si="3"/>
        <v>221994</v>
      </c>
      <c r="K164" s="111" t="s">
        <v>628</v>
      </c>
      <c r="L164" s="195" t="s">
        <v>41</v>
      </c>
    </row>
  </sheetData>
  <mergeCells count="1">
    <mergeCell ref="A1:L1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BV137"/>
  <sheetViews>
    <sheetView zoomScale="90" zoomScaleNormal="90" workbookViewId="0" topLeftCell="A1">
      <pane xSplit="26" ySplit="6" topLeftCell="AA7" activePane="bottomRight" state="frozen"/>
      <selection pane="topRight" activeCell="P1" sqref="P1"/>
      <selection pane="bottomLeft" activeCell="A7" sqref="A7"/>
      <selection pane="bottomRight" activeCell="U9" sqref="U9"/>
    </sheetView>
  </sheetViews>
  <sheetFormatPr defaultColWidth="9.140625" defaultRowHeight="15"/>
  <cols>
    <col min="1" max="1" width="4.140625" style="114" customWidth="1"/>
    <col min="2" max="2" width="6.57421875" style="114" customWidth="1"/>
    <col min="3" max="3" width="3.28125" style="114" customWidth="1"/>
    <col min="4" max="7" width="2.7109375" style="114" customWidth="1"/>
    <col min="8" max="8" width="4.00390625" style="114" customWidth="1"/>
    <col min="9" max="9" width="4.421875" style="267" customWidth="1"/>
    <col min="10" max="10" width="2.7109375" style="114" customWidth="1"/>
    <col min="11" max="11" width="3.7109375" style="114" customWidth="1"/>
    <col min="12" max="18" width="2.7109375" style="114" customWidth="1"/>
    <col min="19" max="19" width="9.28125" style="116" customWidth="1"/>
    <col min="20" max="20" width="8.8515625" style="116" customWidth="1"/>
    <col min="21" max="21" width="9.28125" style="116" customWidth="1"/>
    <col min="22" max="22" width="4.421875" style="293" customWidth="1"/>
    <col min="23" max="23" width="6.7109375" style="381" customWidth="1"/>
    <col min="24" max="24" width="5.421875" style="381" customWidth="1"/>
    <col min="25" max="25" width="5.57421875" style="381" customWidth="1"/>
    <col min="26" max="26" width="8.00390625" style="381" customWidth="1"/>
    <col min="27" max="27" width="4.7109375" style="114" customWidth="1"/>
    <col min="28" max="75" width="6.7109375" style="114" customWidth="1"/>
    <col min="76" max="16384" width="9.140625" style="114" customWidth="1"/>
  </cols>
  <sheetData>
    <row r="1" spans="1:74" ht="15" customHeight="1">
      <c r="A1" s="9"/>
      <c r="B1" s="254" t="s">
        <v>629</v>
      </c>
      <c r="C1" s="254"/>
      <c r="D1" s="254"/>
      <c r="E1" s="254"/>
      <c r="F1" s="254"/>
      <c r="G1" s="254"/>
      <c r="H1" s="254"/>
      <c r="I1" s="255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6"/>
      <c r="W1" s="257"/>
      <c r="X1" s="257"/>
      <c r="Y1" s="257"/>
      <c r="Z1" s="257"/>
      <c r="AA1" s="258"/>
      <c r="AB1" s="393" t="s">
        <v>630</v>
      </c>
      <c r="AC1" s="393"/>
      <c r="AD1" s="393"/>
      <c r="AE1" s="393"/>
      <c r="AF1" s="394" t="s">
        <v>631</v>
      </c>
      <c r="AG1" s="394"/>
      <c r="AH1" s="394"/>
      <c r="AI1" s="394"/>
      <c r="AJ1" s="393" t="s">
        <v>632</v>
      </c>
      <c r="AK1" s="393"/>
      <c r="AL1" s="393"/>
      <c r="AM1" s="393"/>
      <c r="AN1" s="395" t="s">
        <v>633</v>
      </c>
      <c r="AO1" s="395"/>
      <c r="AP1" s="395"/>
      <c r="AQ1" s="395"/>
      <c r="AR1" s="396" t="s">
        <v>634</v>
      </c>
      <c r="AS1" s="396"/>
      <c r="AT1" s="396"/>
      <c r="AU1" s="396"/>
      <c r="AV1" s="396"/>
      <c r="AW1" s="395" t="s">
        <v>635</v>
      </c>
      <c r="AX1" s="395"/>
      <c r="AY1" s="395"/>
      <c r="AZ1" s="395"/>
      <c r="BA1" s="390" t="s">
        <v>636</v>
      </c>
      <c r="BB1" s="390"/>
      <c r="BC1" s="390"/>
      <c r="BD1" s="390"/>
      <c r="BE1" s="390"/>
      <c r="BF1" s="391" t="s">
        <v>637</v>
      </c>
      <c r="BG1" s="391"/>
      <c r="BH1" s="391"/>
      <c r="BI1" s="391"/>
      <c r="BJ1" s="390" t="s">
        <v>638</v>
      </c>
      <c r="BK1" s="390"/>
      <c r="BL1" s="390"/>
      <c r="BM1" s="390"/>
      <c r="BN1" s="391" t="s">
        <v>639</v>
      </c>
      <c r="BO1" s="391"/>
      <c r="BP1" s="391"/>
      <c r="BQ1" s="391"/>
      <c r="BR1" s="391"/>
      <c r="BS1" s="390" t="s">
        <v>640</v>
      </c>
      <c r="BT1" s="390"/>
      <c r="BU1" s="390"/>
      <c r="BV1" s="390"/>
    </row>
    <row r="2" spans="1:74" s="265" customFormat="1" ht="14.25" customHeight="1">
      <c r="A2" s="259"/>
      <c r="B2" s="259" t="s">
        <v>641</v>
      </c>
      <c r="C2" s="259"/>
      <c r="D2" s="259"/>
      <c r="E2" s="259"/>
      <c r="F2" s="259"/>
      <c r="G2" s="259"/>
      <c r="H2" s="259"/>
      <c r="I2" s="255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6"/>
      <c r="W2" s="260"/>
      <c r="X2" s="260"/>
      <c r="Y2" s="260"/>
      <c r="Z2" s="260"/>
      <c r="AA2" s="261">
        <v>0</v>
      </c>
      <c r="AB2" s="262">
        <v>1</v>
      </c>
      <c r="AC2" s="261">
        <v>2</v>
      </c>
      <c r="AD2" s="262">
        <v>3</v>
      </c>
      <c r="AE2" s="261">
        <v>4</v>
      </c>
      <c r="AF2" s="261">
        <v>5</v>
      </c>
      <c r="AG2" s="262">
        <v>5</v>
      </c>
      <c r="AH2" s="262">
        <v>6</v>
      </c>
      <c r="AI2" s="262">
        <v>7</v>
      </c>
      <c r="AJ2" s="262">
        <v>8</v>
      </c>
      <c r="AK2" s="261">
        <v>9</v>
      </c>
      <c r="AL2" s="261">
        <v>10</v>
      </c>
      <c r="AM2" s="261">
        <v>11</v>
      </c>
      <c r="AN2" s="261">
        <v>12</v>
      </c>
      <c r="AO2" s="261">
        <v>13</v>
      </c>
      <c r="AP2" s="261">
        <v>14</v>
      </c>
      <c r="AQ2" s="262">
        <v>15</v>
      </c>
      <c r="AR2" s="261">
        <v>16</v>
      </c>
      <c r="AS2" s="263">
        <v>17</v>
      </c>
      <c r="AT2" s="262">
        <v>18</v>
      </c>
      <c r="AU2" s="262">
        <v>19</v>
      </c>
      <c r="AV2" s="262">
        <v>20</v>
      </c>
      <c r="AW2" s="262">
        <v>21</v>
      </c>
      <c r="AX2" s="262">
        <v>22</v>
      </c>
      <c r="AY2" s="262">
        <v>23</v>
      </c>
      <c r="AZ2" s="262">
        <v>24</v>
      </c>
      <c r="BA2" s="261">
        <v>25</v>
      </c>
      <c r="BB2" s="261">
        <v>26</v>
      </c>
      <c r="BC2" s="262">
        <v>27</v>
      </c>
      <c r="BD2" s="262">
        <v>28</v>
      </c>
      <c r="BE2" s="261">
        <v>29</v>
      </c>
      <c r="BF2" s="261">
        <v>30</v>
      </c>
      <c r="BG2" s="261">
        <v>31</v>
      </c>
      <c r="BH2" s="261">
        <v>32</v>
      </c>
      <c r="BI2" s="263">
        <v>33</v>
      </c>
      <c r="BJ2" s="263">
        <v>34</v>
      </c>
      <c r="BK2" s="261">
        <v>35</v>
      </c>
      <c r="BL2" s="261">
        <v>36</v>
      </c>
      <c r="BM2" s="261">
        <v>37</v>
      </c>
      <c r="BN2" s="263">
        <v>38</v>
      </c>
      <c r="BO2" s="262">
        <v>39</v>
      </c>
      <c r="BP2" s="262">
        <v>40</v>
      </c>
      <c r="BQ2" s="264">
        <v>41</v>
      </c>
      <c r="BR2" s="264">
        <v>42</v>
      </c>
      <c r="BS2" s="264">
        <v>43</v>
      </c>
      <c r="BT2" s="264">
        <v>44</v>
      </c>
      <c r="BU2" s="264">
        <v>45</v>
      </c>
      <c r="BV2" s="264">
        <v>46</v>
      </c>
    </row>
    <row r="3" spans="1:40" ht="15" customHeight="1">
      <c r="A3" s="9"/>
      <c r="B3" s="9"/>
      <c r="C3" s="266"/>
      <c r="D3" s="266"/>
      <c r="E3" s="266"/>
      <c r="F3" s="266"/>
      <c r="H3" s="266"/>
      <c r="J3" s="268"/>
      <c r="K3" s="266"/>
      <c r="L3" s="268"/>
      <c r="M3" s="268"/>
      <c r="N3" s="268"/>
      <c r="O3" s="268"/>
      <c r="P3" s="268"/>
      <c r="Q3" s="268"/>
      <c r="R3" s="268"/>
      <c r="S3" s="269"/>
      <c r="T3" s="269"/>
      <c r="U3" s="269"/>
      <c r="V3" s="270"/>
      <c r="W3" s="271"/>
      <c r="X3" s="271"/>
      <c r="Y3" s="271"/>
      <c r="Z3" s="271"/>
      <c r="AA3" s="272"/>
      <c r="AB3" s="272"/>
      <c r="AC3" s="392" t="s">
        <v>642</v>
      </c>
      <c r="AD3" s="392"/>
      <c r="AE3" s="392"/>
      <c r="AF3" s="392"/>
      <c r="AG3" s="272"/>
      <c r="AH3" s="272"/>
      <c r="AI3" s="272"/>
      <c r="AJ3" s="272"/>
      <c r="AK3" s="392" t="s">
        <v>642</v>
      </c>
      <c r="AL3" s="392"/>
      <c r="AM3" s="392"/>
      <c r="AN3" s="392"/>
    </row>
    <row r="4" spans="1:74" ht="71.25" customHeight="1">
      <c r="A4" s="273" t="s">
        <v>643</v>
      </c>
      <c r="B4" s="9" t="s">
        <v>0</v>
      </c>
      <c r="C4" s="274" t="s">
        <v>644</v>
      </c>
      <c r="D4" s="274" t="s">
        <v>645</v>
      </c>
      <c r="E4" s="274" t="s">
        <v>646</v>
      </c>
      <c r="F4" s="274" t="s">
        <v>647</v>
      </c>
      <c r="G4" s="274" t="s">
        <v>648</v>
      </c>
      <c r="H4" s="274" t="s">
        <v>649</v>
      </c>
      <c r="I4" s="275" t="s">
        <v>650</v>
      </c>
      <c r="J4" s="274" t="s">
        <v>651</v>
      </c>
      <c r="K4" s="274" t="s">
        <v>652</v>
      </c>
      <c r="L4" s="274" t="s">
        <v>653</v>
      </c>
      <c r="M4" s="274" t="s">
        <v>654</v>
      </c>
      <c r="N4" s="274" t="s">
        <v>655</v>
      </c>
      <c r="O4" s="274" t="s">
        <v>656</v>
      </c>
      <c r="P4" s="274" t="s">
        <v>657</v>
      </c>
      <c r="Q4" s="274" t="s">
        <v>658</v>
      </c>
      <c r="R4" s="274" t="s">
        <v>659</v>
      </c>
      <c r="S4" s="276" t="s">
        <v>660</v>
      </c>
      <c r="T4" s="276" t="s">
        <v>661</v>
      </c>
      <c r="U4" s="276" t="s">
        <v>662</v>
      </c>
      <c r="V4" s="277" t="s">
        <v>663</v>
      </c>
      <c r="W4" s="278" t="s">
        <v>664</v>
      </c>
      <c r="X4" s="278" t="s">
        <v>665</v>
      </c>
      <c r="Y4" s="266" t="s">
        <v>666</v>
      </c>
      <c r="Z4" s="274" t="s">
        <v>667</v>
      </c>
      <c r="AA4" s="279">
        <v>42006</v>
      </c>
      <c r="AB4" s="279">
        <v>42013</v>
      </c>
      <c r="AC4" s="279">
        <v>42020</v>
      </c>
      <c r="AD4" s="279" t="s">
        <v>668</v>
      </c>
      <c r="AE4" s="279">
        <v>42034</v>
      </c>
      <c r="AF4" s="279">
        <v>42041</v>
      </c>
      <c r="AG4" s="279">
        <v>42048</v>
      </c>
      <c r="AH4" s="279">
        <v>42055</v>
      </c>
      <c r="AI4" s="279">
        <v>42062</v>
      </c>
      <c r="AJ4" s="279">
        <v>42069</v>
      </c>
      <c r="AK4" s="279">
        <v>42076</v>
      </c>
      <c r="AL4" s="279">
        <v>42083</v>
      </c>
      <c r="AM4" s="279">
        <v>42090</v>
      </c>
      <c r="AN4" s="279">
        <v>42097</v>
      </c>
      <c r="AO4" s="279">
        <v>42104</v>
      </c>
      <c r="AP4" s="279">
        <v>42111</v>
      </c>
      <c r="AQ4" s="279">
        <v>42118</v>
      </c>
      <c r="AR4" s="279">
        <v>42125</v>
      </c>
      <c r="AS4" s="279">
        <v>42132</v>
      </c>
      <c r="AT4" s="279">
        <v>42139</v>
      </c>
      <c r="AU4" s="279">
        <v>42146</v>
      </c>
      <c r="AV4" s="279">
        <v>42153</v>
      </c>
      <c r="AW4" s="279">
        <v>42160</v>
      </c>
      <c r="AX4" s="279">
        <v>42167</v>
      </c>
      <c r="AY4" s="279">
        <v>42174</v>
      </c>
      <c r="AZ4" s="279">
        <v>42181</v>
      </c>
      <c r="BA4" s="279">
        <v>42188</v>
      </c>
      <c r="BB4" s="279">
        <v>42195</v>
      </c>
      <c r="BC4" s="279">
        <v>42202</v>
      </c>
      <c r="BD4" s="279">
        <v>42209</v>
      </c>
      <c r="BE4" s="279">
        <v>42216</v>
      </c>
      <c r="BF4" s="279">
        <v>42223</v>
      </c>
      <c r="BG4" s="279">
        <v>42230</v>
      </c>
      <c r="BH4" s="279">
        <v>42237</v>
      </c>
      <c r="BI4" s="279">
        <v>42244</v>
      </c>
      <c r="BJ4" s="279">
        <v>42251</v>
      </c>
      <c r="BK4" s="279">
        <v>42258</v>
      </c>
      <c r="BL4" s="279">
        <v>42265</v>
      </c>
      <c r="BM4" s="279">
        <v>42272</v>
      </c>
      <c r="BN4" s="279">
        <v>42279</v>
      </c>
      <c r="BO4" s="279">
        <v>42286</v>
      </c>
      <c r="BP4" s="279">
        <v>42293</v>
      </c>
      <c r="BQ4" s="279">
        <v>42300</v>
      </c>
      <c r="BR4" s="279">
        <v>42307</v>
      </c>
      <c r="BS4" s="279">
        <v>42314</v>
      </c>
      <c r="BT4" s="279">
        <v>42321</v>
      </c>
      <c r="BU4" s="279">
        <v>42328</v>
      </c>
      <c r="BV4" s="279">
        <v>42335</v>
      </c>
    </row>
    <row r="5" spans="1:70" ht="15.75" customHeight="1">
      <c r="A5" s="254" t="s">
        <v>669</v>
      </c>
      <c r="B5" s="254"/>
      <c r="C5" s="254"/>
      <c r="D5" s="254"/>
      <c r="E5" s="254"/>
      <c r="F5" s="254"/>
      <c r="G5" s="9"/>
      <c r="H5" s="254"/>
      <c r="I5" s="280"/>
      <c r="J5" s="281"/>
      <c r="K5" s="254"/>
      <c r="L5" s="281"/>
      <c r="M5" s="281"/>
      <c r="N5" s="281"/>
      <c r="O5" s="281"/>
      <c r="P5" s="281"/>
      <c r="Q5" s="281"/>
      <c r="R5" s="281"/>
      <c r="S5" s="9"/>
      <c r="T5" s="9"/>
      <c r="U5" s="9"/>
      <c r="V5" s="270"/>
      <c r="W5" s="282"/>
      <c r="X5" s="282"/>
      <c r="Y5" s="282"/>
      <c r="Z5" s="282"/>
      <c r="AA5" s="114">
        <v>0</v>
      </c>
      <c r="AB5" s="114">
        <v>7</v>
      </c>
      <c r="AC5" s="283">
        <v>7</v>
      </c>
      <c r="AD5" s="283">
        <v>7</v>
      </c>
      <c r="AE5" s="283">
        <v>7</v>
      </c>
      <c r="AF5" s="283">
        <v>7</v>
      </c>
      <c r="AG5" s="283">
        <v>8</v>
      </c>
      <c r="AH5" s="283">
        <v>8</v>
      </c>
      <c r="AI5" s="283">
        <v>9</v>
      </c>
      <c r="AJ5" s="283">
        <v>9</v>
      </c>
      <c r="AK5" s="283">
        <v>8</v>
      </c>
      <c r="AL5" s="283">
        <v>8</v>
      </c>
      <c r="AM5" s="283">
        <v>8</v>
      </c>
      <c r="AN5" s="283">
        <v>8</v>
      </c>
      <c r="AO5" s="283">
        <v>8</v>
      </c>
      <c r="AP5" s="283">
        <v>8</v>
      </c>
      <c r="AQ5" s="283">
        <v>8</v>
      </c>
      <c r="AR5" s="283">
        <v>8</v>
      </c>
      <c r="AS5" s="283">
        <v>8</v>
      </c>
      <c r="AT5" s="283">
        <v>8</v>
      </c>
      <c r="AU5" s="283">
        <v>8</v>
      </c>
      <c r="AV5" s="283">
        <v>8</v>
      </c>
      <c r="AW5" s="283">
        <v>8</v>
      </c>
      <c r="AX5" s="283">
        <v>8</v>
      </c>
      <c r="AY5" s="283">
        <v>8</v>
      </c>
      <c r="AZ5" s="283">
        <v>7</v>
      </c>
      <c r="BA5" s="283">
        <v>7</v>
      </c>
      <c r="BB5" s="283">
        <v>7</v>
      </c>
      <c r="BC5" s="283">
        <v>7</v>
      </c>
      <c r="BD5" s="283">
        <v>7</v>
      </c>
      <c r="BE5" s="283">
        <v>7</v>
      </c>
      <c r="BF5" s="283">
        <v>7</v>
      </c>
      <c r="BG5" s="283">
        <v>7</v>
      </c>
      <c r="BH5" s="283">
        <v>4</v>
      </c>
      <c r="BI5" s="283">
        <v>3</v>
      </c>
      <c r="BJ5" s="283">
        <v>4</v>
      </c>
      <c r="BK5" s="283">
        <v>4</v>
      </c>
      <c r="BL5" s="283">
        <v>4</v>
      </c>
      <c r="BM5" s="283">
        <v>5</v>
      </c>
      <c r="BN5" s="283">
        <v>7</v>
      </c>
      <c r="BO5" s="283">
        <v>7</v>
      </c>
      <c r="BP5" s="283">
        <v>7</v>
      </c>
      <c r="BQ5" s="283">
        <v>7</v>
      </c>
      <c r="BR5" s="283">
        <v>6</v>
      </c>
    </row>
    <row r="6" spans="1:70" ht="15.75" customHeight="1">
      <c r="A6" s="254" t="s">
        <v>670</v>
      </c>
      <c r="B6" s="254"/>
      <c r="C6" s="254"/>
      <c r="D6" s="254"/>
      <c r="E6" s="254"/>
      <c r="F6" s="254"/>
      <c r="G6" s="254"/>
      <c r="H6" s="254"/>
      <c r="I6" s="284"/>
      <c r="J6" s="285"/>
      <c r="K6" s="254"/>
      <c r="L6" s="285"/>
      <c r="M6" s="285"/>
      <c r="N6" s="285"/>
      <c r="O6" s="285"/>
      <c r="P6" s="285"/>
      <c r="Q6" s="285"/>
      <c r="R6" s="285"/>
      <c r="S6" s="9"/>
      <c r="T6" s="9"/>
      <c r="U6" s="9"/>
      <c r="V6" s="270"/>
      <c r="W6" s="282"/>
      <c r="X6" s="282"/>
      <c r="Y6" s="282"/>
      <c r="Z6" s="282"/>
      <c r="AA6" s="286">
        <v>0</v>
      </c>
      <c r="AB6" s="286">
        <v>0.89</v>
      </c>
      <c r="AC6" s="286">
        <v>0.87</v>
      </c>
      <c r="AD6" s="286">
        <v>0.93</v>
      </c>
      <c r="AE6" s="286">
        <v>0.91</v>
      </c>
      <c r="AF6" s="286">
        <v>0.85</v>
      </c>
      <c r="AG6" s="286">
        <v>0.97</v>
      </c>
      <c r="AH6" s="286">
        <v>0.98</v>
      </c>
      <c r="AI6" s="286">
        <v>1</v>
      </c>
      <c r="AJ6" s="286">
        <v>1.01</v>
      </c>
      <c r="AK6" s="286">
        <v>0.94</v>
      </c>
      <c r="AL6" s="286">
        <v>0.98</v>
      </c>
      <c r="AM6" s="286">
        <v>0.92</v>
      </c>
      <c r="AN6" s="286">
        <v>0.99</v>
      </c>
      <c r="AO6" s="61">
        <v>0.93</v>
      </c>
      <c r="AP6" s="61">
        <v>1.02</v>
      </c>
      <c r="AQ6" s="61">
        <v>0.95</v>
      </c>
      <c r="AR6" s="61">
        <v>0.94</v>
      </c>
      <c r="AS6" s="61">
        <v>0.95</v>
      </c>
      <c r="AT6" s="61">
        <v>0.92</v>
      </c>
      <c r="AU6" s="61">
        <v>0.93</v>
      </c>
      <c r="AV6" s="61">
        <v>0.96</v>
      </c>
      <c r="AW6" s="61">
        <v>0.86</v>
      </c>
      <c r="AX6" s="61">
        <v>0.96</v>
      </c>
      <c r="AY6" s="61">
        <v>0.92</v>
      </c>
      <c r="AZ6" s="61">
        <v>0.96</v>
      </c>
      <c r="BA6" s="61">
        <v>0.99</v>
      </c>
      <c r="BB6" s="61">
        <v>0.99</v>
      </c>
      <c r="BC6" s="61">
        <v>0.96</v>
      </c>
      <c r="BD6" s="61">
        <v>0.99</v>
      </c>
      <c r="BE6" s="61">
        <v>0.98</v>
      </c>
      <c r="BF6" s="61">
        <v>0.79</v>
      </c>
      <c r="BG6" s="61">
        <v>0.67</v>
      </c>
      <c r="BH6" s="61">
        <v>-0.09</v>
      </c>
      <c r="BI6" s="61">
        <v>0.44</v>
      </c>
      <c r="BJ6" s="61">
        <v>0.53</v>
      </c>
      <c r="BK6" s="61">
        <v>0.66</v>
      </c>
      <c r="BL6" s="61">
        <v>0.57</v>
      </c>
      <c r="BM6" s="61">
        <v>0.56</v>
      </c>
      <c r="BN6" s="61">
        <v>0.95</v>
      </c>
      <c r="BO6" s="61">
        <v>1</v>
      </c>
      <c r="BP6" s="61">
        <v>0.99</v>
      </c>
      <c r="BQ6" s="61">
        <v>0.96</v>
      </c>
      <c r="BR6" s="61">
        <v>0.83</v>
      </c>
    </row>
    <row r="7" spans="1:40" ht="15">
      <c r="A7" s="114">
        <v>1</v>
      </c>
      <c r="B7" s="114" t="s">
        <v>40</v>
      </c>
      <c r="C7" s="287">
        <v>14</v>
      </c>
      <c r="D7" s="288" t="s">
        <v>671</v>
      </c>
      <c r="E7" s="288"/>
      <c r="F7" s="288" t="s">
        <v>671</v>
      </c>
      <c r="G7" s="288"/>
      <c r="H7" s="288">
        <v>129</v>
      </c>
      <c r="I7" s="267">
        <v>0.43</v>
      </c>
      <c r="J7" s="287" t="s">
        <v>671</v>
      </c>
      <c r="K7" s="288">
        <v>87</v>
      </c>
      <c r="L7" s="288"/>
      <c r="M7" s="289">
        <v>0.8</v>
      </c>
      <c r="N7" s="290"/>
      <c r="O7" s="287">
        <v>99</v>
      </c>
      <c r="P7" s="287">
        <v>97</v>
      </c>
      <c r="Q7" s="288">
        <v>92</v>
      </c>
      <c r="R7" s="291">
        <v>3</v>
      </c>
      <c r="S7" s="116">
        <v>42009</v>
      </c>
      <c r="T7" s="292" t="s">
        <v>672</v>
      </c>
      <c r="U7" s="116">
        <v>42016</v>
      </c>
      <c r="V7" s="293">
        <v>12</v>
      </c>
      <c r="W7" s="294">
        <v>-0.03</v>
      </c>
      <c r="X7" s="294">
        <v>-0.03</v>
      </c>
      <c r="Y7" s="295">
        <v>-0.74</v>
      </c>
      <c r="Z7" s="296">
        <v>-689</v>
      </c>
      <c r="AA7" s="113" t="s">
        <v>672</v>
      </c>
      <c r="AB7" s="297" t="s">
        <v>40</v>
      </c>
      <c r="AC7" s="298"/>
      <c r="AD7" s="299"/>
      <c r="AE7" s="300"/>
      <c r="AF7" s="300"/>
      <c r="AG7" s="299"/>
      <c r="AH7" s="300"/>
      <c r="AI7" s="301"/>
      <c r="AJ7" s="299"/>
      <c r="AK7" s="302"/>
      <c r="AL7" s="303"/>
      <c r="AN7" s="113"/>
    </row>
    <row r="8" spans="1:43" s="113" customFormat="1" ht="15">
      <c r="A8" s="113">
        <v>2</v>
      </c>
      <c r="B8" s="113" t="s">
        <v>92</v>
      </c>
      <c r="C8" s="287">
        <v>18</v>
      </c>
      <c r="D8" s="288"/>
      <c r="E8" s="288"/>
      <c r="F8" s="288"/>
      <c r="G8" s="288"/>
      <c r="H8" s="288">
        <v>84</v>
      </c>
      <c r="I8" s="304">
        <v>0.67</v>
      </c>
      <c r="J8" s="288"/>
      <c r="K8" s="288">
        <v>132</v>
      </c>
      <c r="L8" s="288"/>
      <c r="M8" s="289">
        <v>0.6</v>
      </c>
      <c r="N8" s="290"/>
      <c r="O8" s="287">
        <v>97</v>
      </c>
      <c r="P8" s="288">
        <v>94</v>
      </c>
      <c r="Q8" s="288">
        <v>96</v>
      </c>
      <c r="R8" s="288"/>
      <c r="S8" s="87">
        <v>42010</v>
      </c>
      <c r="T8" s="305" t="s">
        <v>672</v>
      </c>
      <c r="U8" s="87">
        <v>42118</v>
      </c>
      <c r="V8" s="383">
        <v>2</v>
      </c>
      <c r="W8" s="307">
        <v>0.267</v>
      </c>
      <c r="X8" s="307">
        <v>0.215</v>
      </c>
      <c r="Y8" s="308">
        <v>0.93</v>
      </c>
      <c r="Z8" s="309">
        <v>7652</v>
      </c>
      <c r="AA8" s="113" t="s">
        <v>672</v>
      </c>
      <c r="AB8" s="310" t="s">
        <v>92</v>
      </c>
      <c r="AC8" s="311"/>
      <c r="AD8" s="310" t="s">
        <v>92</v>
      </c>
      <c r="AE8" s="312"/>
      <c r="AF8" s="312"/>
      <c r="AG8" s="310" t="s">
        <v>92</v>
      </c>
      <c r="AH8" s="312"/>
      <c r="AI8" s="313"/>
      <c r="AJ8" s="310" t="s">
        <v>92</v>
      </c>
      <c r="AK8" s="314"/>
      <c r="AL8" s="315"/>
      <c r="AM8" s="310" t="s">
        <v>92</v>
      </c>
      <c r="AN8" s="316"/>
      <c r="AO8" s="316"/>
      <c r="AP8" s="310" t="s">
        <v>92</v>
      </c>
      <c r="AQ8" s="316"/>
    </row>
    <row r="9" spans="1:40" ht="15">
      <c r="A9" s="114">
        <v>3</v>
      </c>
      <c r="B9" s="114" t="s">
        <v>64</v>
      </c>
      <c r="C9" s="287">
        <v>2</v>
      </c>
      <c r="D9" s="317"/>
      <c r="E9" s="317"/>
      <c r="F9" s="317"/>
      <c r="G9" s="287"/>
      <c r="H9" s="287">
        <v>13</v>
      </c>
      <c r="I9" s="304">
        <v>0.57</v>
      </c>
      <c r="J9" s="287" t="s">
        <v>671</v>
      </c>
      <c r="K9" s="287">
        <v>3</v>
      </c>
      <c r="L9" s="288"/>
      <c r="M9" s="289">
        <v>2</v>
      </c>
      <c r="N9" s="288">
        <v>88</v>
      </c>
      <c r="O9" s="287">
        <v>99</v>
      </c>
      <c r="P9" s="287">
        <v>98</v>
      </c>
      <c r="Q9" s="287">
        <v>98</v>
      </c>
      <c r="R9" s="288">
        <v>2</v>
      </c>
      <c r="S9" s="116">
        <v>42011</v>
      </c>
      <c r="T9" s="292" t="s">
        <v>672</v>
      </c>
      <c r="U9" s="116">
        <v>42081</v>
      </c>
      <c r="V9" s="383">
        <v>2</v>
      </c>
      <c r="W9" s="318">
        <v>0.373</v>
      </c>
      <c r="X9" s="318">
        <v>0.283</v>
      </c>
      <c r="Y9" s="319">
        <v>2.566</v>
      </c>
      <c r="Z9" s="320">
        <v>12455</v>
      </c>
      <c r="AA9" s="113" t="s">
        <v>672</v>
      </c>
      <c r="AB9" s="321" t="s">
        <v>64</v>
      </c>
      <c r="AC9" s="322"/>
      <c r="AD9" s="321" t="s">
        <v>64</v>
      </c>
      <c r="AE9" s="323"/>
      <c r="AF9" s="323"/>
      <c r="AG9" s="321" t="s">
        <v>64</v>
      </c>
      <c r="AH9" s="323"/>
      <c r="AI9" s="324"/>
      <c r="AJ9" s="321" t="s">
        <v>64</v>
      </c>
      <c r="AK9" s="325"/>
      <c r="AL9" s="326" t="s">
        <v>673</v>
      </c>
      <c r="AN9" s="113"/>
    </row>
    <row r="10" spans="1:54" ht="15">
      <c r="A10" s="114">
        <v>4</v>
      </c>
      <c r="B10" s="114" t="s">
        <v>39</v>
      </c>
      <c r="C10" s="287">
        <v>3</v>
      </c>
      <c r="D10" s="288"/>
      <c r="E10" s="287" t="s">
        <v>671</v>
      </c>
      <c r="F10" s="288"/>
      <c r="G10" s="288" t="s">
        <v>671</v>
      </c>
      <c r="H10" s="287">
        <v>27</v>
      </c>
      <c r="I10" s="267">
        <v>0.48</v>
      </c>
      <c r="J10" s="287" t="s">
        <v>671</v>
      </c>
      <c r="K10" s="287">
        <v>10</v>
      </c>
      <c r="L10" s="288"/>
      <c r="M10" s="289">
        <v>6.4</v>
      </c>
      <c r="N10" s="287">
        <v>96</v>
      </c>
      <c r="O10" s="287">
        <v>99</v>
      </c>
      <c r="P10" s="287">
        <v>98</v>
      </c>
      <c r="Q10" s="287">
        <v>97</v>
      </c>
      <c r="R10" s="288">
        <v>2</v>
      </c>
      <c r="S10" s="116">
        <v>42011</v>
      </c>
      <c r="T10" s="292" t="s">
        <v>672</v>
      </c>
      <c r="U10" s="116">
        <v>42019</v>
      </c>
      <c r="V10" s="293">
        <v>3</v>
      </c>
      <c r="W10" s="294">
        <v>-0.043</v>
      </c>
      <c r="X10" s="294">
        <v>-0.043</v>
      </c>
      <c r="Y10" s="295">
        <v>-0.85</v>
      </c>
      <c r="Z10" s="296">
        <v>-1229</v>
      </c>
      <c r="AA10" s="113" t="s">
        <v>672</v>
      </c>
      <c r="AB10" s="327" t="s">
        <v>39</v>
      </c>
      <c r="AC10" s="328" t="s">
        <v>674</v>
      </c>
      <c r="AD10" s="299"/>
      <c r="AE10" s="72"/>
      <c r="AF10" s="72"/>
      <c r="AG10" s="289"/>
      <c r="AH10" s="329"/>
      <c r="AI10" s="329"/>
      <c r="AJ10" s="330"/>
      <c r="AK10" s="331"/>
      <c r="AL10" s="329"/>
      <c r="AM10" s="332"/>
      <c r="AN10" s="332"/>
      <c r="BB10" s="114" t="s">
        <v>675</v>
      </c>
    </row>
    <row r="11" spans="1:59" ht="15">
      <c r="A11" s="114">
        <v>5</v>
      </c>
      <c r="B11" s="114" t="s">
        <v>80</v>
      </c>
      <c r="C11" s="288"/>
      <c r="D11" s="288"/>
      <c r="E11" s="288"/>
      <c r="F11" s="288"/>
      <c r="G11" s="288"/>
      <c r="H11" s="288"/>
      <c r="J11" s="287" t="s">
        <v>671</v>
      </c>
      <c r="K11" s="288">
        <v>510</v>
      </c>
      <c r="L11" s="287" t="s">
        <v>671</v>
      </c>
      <c r="M11" s="333">
        <v>2.1</v>
      </c>
      <c r="N11" s="334"/>
      <c r="O11" s="288">
        <v>84</v>
      </c>
      <c r="P11" s="288">
        <v>77</v>
      </c>
      <c r="Q11" s="288">
        <v>93</v>
      </c>
      <c r="R11" s="291">
        <v>3</v>
      </c>
      <c r="S11" s="116">
        <v>42011</v>
      </c>
      <c r="T11" s="292" t="s">
        <v>676</v>
      </c>
      <c r="U11" s="116">
        <v>42234</v>
      </c>
      <c r="V11" s="382">
        <v>10</v>
      </c>
      <c r="W11" s="335">
        <v>1.657</v>
      </c>
      <c r="X11" s="335">
        <v>0.637</v>
      </c>
      <c r="Y11" s="336">
        <v>1.239</v>
      </c>
      <c r="Z11" s="337">
        <v>108673</v>
      </c>
      <c r="AA11" s="289" t="s">
        <v>676</v>
      </c>
      <c r="AB11" s="338" t="s">
        <v>80</v>
      </c>
      <c r="AC11" s="339"/>
      <c r="AD11" s="339"/>
      <c r="AE11" s="338" t="s">
        <v>80</v>
      </c>
      <c r="AF11" s="339"/>
      <c r="AG11" s="339"/>
      <c r="AH11" s="338" t="s">
        <v>80</v>
      </c>
      <c r="AI11" s="339"/>
      <c r="AJ11" s="339"/>
      <c r="AK11" s="338" t="s">
        <v>80</v>
      </c>
      <c r="AL11" s="339"/>
      <c r="AM11" s="339"/>
      <c r="AN11" s="338" t="s">
        <v>80</v>
      </c>
      <c r="AO11" s="339"/>
      <c r="AP11" s="339"/>
      <c r="AQ11" s="338" t="s">
        <v>80</v>
      </c>
      <c r="AR11" s="339"/>
      <c r="AS11" s="339"/>
      <c r="AT11" s="338" t="s">
        <v>80</v>
      </c>
      <c r="AU11" s="339"/>
      <c r="AV11" s="339"/>
      <c r="AW11" s="338" t="s">
        <v>80</v>
      </c>
      <c r="AX11" s="339"/>
      <c r="AY11" s="339"/>
      <c r="AZ11" s="338" t="s">
        <v>80</v>
      </c>
      <c r="BA11" s="339"/>
      <c r="BB11" s="339"/>
      <c r="BC11" s="338" t="s">
        <v>80</v>
      </c>
      <c r="BD11" s="339"/>
      <c r="BE11" s="338" t="s">
        <v>80</v>
      </c>
      <c r="BF11" s="339"/>
      <c r="BG11" s="339"/>
    </row>
    <row r="12" spans="1:58" s="113" customFormat="1" ht="15">
      <c r="A12" s="113">
        <v>6</v>
      </c>
      <c r="B12" s="113" t="s">
        <v>50</v>
      </c>
      <c r="C12" s="288"/>
      <c r="D12" s="287" t="s">
        <v>671</v>
      </c>
      <c r="E12" s="287" t="s">
        <v>671</v>
      </c>
      <c r="F12" s="288"/>
      <c r="G12" s="288" t="s">
        <v>671</v>
      </c>
      <c r="H12" s="288"/>
      <c r="I12" s="267">
        <v>0.4</v>
      </c>
      <c r="J12" s="287" t="s">
        <v>671</v>
      </c>
      <c r="K12" s="288">
        <v>40</v>
      </c>
      <c r="L12" s="288"/>
      <c r="M12" s="289">
        <v>1.1</v>
      </c>
      <c r="N12" s="288">
        <v>76</v>
      </c>
      <c r="O12" s="287">
        <v>99</v>
      </c>
      <c r="P12" s="287">
        <v>97</v>
      </c>
      <c r="Q12" s="288">
        <v>81</v>
      </c>
      <c r="R12" s="287">
        <v>1</v>
      </c>
      <c r="S12" s="87">
        <v>42011</v>
      </c>
      <c r="T12" s="305" t="s">
        <v>676</v>
      </c>
      <c r="U12" s="87">
        <v>42039</v>
      </c>
      <c r="V12" s="306">
        <v>6</v>
      </c>
      <c r="W12" s="340">
        <v>-0.028</v>
      </c>
      <c r="X12" s="340">
        <v>-0.028</v>
      </c>
      <c r="Y12" s="341">
        <v>-0.32</v>
      </c>
      <c r="Z12" s="342">
        <v>-783</v>
      </c>
      <c r="AA12" s="289" t="s">
        <v>676</v>
      </c>
      <c r="AB12" s="343" t="s">
        <v>50</v>
      </c>
      <c r="AC12" s="344"/>
      <c r="AD12" s="344"/>
      <c r="AE12" s="343" t="s">
        <v>50</v>
      </c>
      <c r="AF12" s="344"/>
      <c r="AG12" s="72"/>
      <c r="AH12" s="299"/>
      <c r="AI12" s="72"/>
      <c r="AJ12" s="72"/>
      <c r="AK12" s="299"/>
      <c r="AL12" s="72"/>
      <c r="AM12" s="72"/>
      <c r="AN12" s="299"/>
      <c r="AO12" s="72"/>
      <c r="AP12" s="72"/>
      <c r="AQ12" s="299"/>
      <c r="AR12" s="72"/>
      <c r="AS12" s="72"/>
      <c r="AT12" s="299"/>
      <c r="AU12" s="72"/>
      <c r="AV12" s="72"/>
      <c r="AW12" s="299"/>
      <c r="AX12" s="72"/>
      <c r="AY12" s="72"/>
      <c r="AZ12" s="299"/>
      <c r="BA12" s="72"/>
      <c r="BB12" s="72"/>
      <c r="BC12" s="299"/>
      <c r="BD12" s="72"/>
      <c r="BE12" s="299"/>
      <c r="BF12" s="72"/>
    </row>
    <row r="13" spans="1:52" ht="15">
      <c r="A13" s="114">
        <v>7</v>
      </c>
      <c r="B13" s="114" t="s">
        <v>60</v>
      </c>
      <c r="C13" s="287">
        <v>5</v>
      </c>
      <c r="D13" s="288"/>
      <c r="E13" s="288"/>
      <c r="F13" s="288"/>
      <c r="G13" s="288" t="s">
        <v>671</v>
      </c>
      <c r="H13" s="287">
        <v>31</v>
      </c>
      <c r="I13" s="267">
        <v>0.9</v>
      </c>
      <c r="J13" s="287" t="s">
        <v>671</v>
      </c>
      <c r="K13" s="287">
        <v>2</v>
      </c>
      <c r="L13" s="288"/>
      <c r="M13" s="289">
        <v>1.4</v>
      </c>
      <c r="N13" s="288">
        <v>79</v>
      </c>
      <c r="O13" s="287">
        <v>99</v>
      </c>
      <c r="P13" s="287">
        <v>98</v>
      </c>
      <c r="Q13" s="288">
        <v>94</v>
      </c>
      <c r="R13" s="288">
        <v>2</v>
      </c>
      <c r="S13" s="116">
        <v>42012</v>
      </c>
      <c r="T13" s="292" t="s">
        <v>676</v>
      </c>
      <c r="U13" s="116">
        <v>42076</v>
      </c>
      <c r="V13" s="383">
        <v>2</v>
      </c>
      <c r="W13" s="335">
        <v>0.38</v>
      </c>
      <c r="X13" s="335">
        <v>0.309</v>
      </c>
      <c r="Y13" s="336">
        <v>3.61</v>
      </c>
      <c r="Z13" s="337">
        <v>10892</v>
      </c>
      <c r="AA13" s="289" t="s">
        <v>676</v>
      </c>
      <c r="AB13" s="345" t="s">
        <v>60</v>
      </c>
      <c r="AC13" s="346"/>
      <c r="AD13" s="345" t="s">
        <v>60</v>
      </c>
      <c r="AE13" s="346"/>
      <c r="AF13" s="345"/>
      <c r="AG13" s="345" t="s">
        <v>60</v>
      </c>
      <c r="AH13" s="345"/>
      <c r="AI13" s="347"/>
      <c r="AJ13" s="345" t="s">
        <v>60</v>
      </c>
      <c r="AK13" s="347"/>
      <c r="AL13" s="348"/>
      <c r="AM13" s="299"/>
      <c r="AN13" s="348"/>
      <c r="AO13" s="299"/>
      <c r="AP13" s="299"/>
      <c r="AQ13" s="299"/>
      <c r="AR13" s="349"/>
      <c r="AS13" s="299"/>
      <c r="AT13" s="113"/>
      <c r="AU13" s="113"/>
      <c r="AV13" s="299"/>
      <c r="AW13" s="113"/>
      <c r="AX13" s="113"/>
      <c r="AY13" s="299"/>
      <c r="AZ13" s="113"/>
    </row>
    <row r="14" spans="1:42" ht="15">
      <c r="A14" s="114">
        <v>8</v>
      </c>
      <c r="B14" s="114" t="s">
        <v>73</v>
      </c>
      <c r="C14" s="288">
        <v>37</v>
      </c>
      <c r="D14" s="288"/>
      <c r="E14" s="288"/>
      <c r="F14" s="288"/>
      <c r="G14" s="288"/>
      <c r="H14" s="288">
        <v>119</v>
      </c>
      <c r="I14" s="304">
        <v>0.68</v>
      </c>
      <c r="J14" s="288"/>
      <c r="K14" s="288">
        <v>251</v>
      </c>
      <c r="L14" s="288"/>
      <c r="M14" s="289">
        <v>1.2</v>
      </c>
      <c r="N14" s="288"/>
      <c r="O14" s="287">
        <v>98</v>
      </c>
      <c r="P14" s="288">
        <v>85</v>
      </c>
      <c r="Q14" s="287">
        <v>97</v>
      </c>
      <c r="R14" s="288">
        <v>2</v>
      </c>
      <c r="S14" s="116">
        <v>42017</v>
      </c>
      <c r="T14" s="292" t="s">
        <v>40</v>
      </c>
      <c r="U14" s="116">
        <v>42086</v>
      </c>
      <c r="V14" s="383">
        <v>2</v>
      </c>
      <c r="W14" s="335">
        <v>0.258</v>
      </c>
      <c r="X14" s="335">
        <v>0.219</v>
      </c>
      <c r="Y14" s="336">
        <v>1.856</v>
      </c>
      <c r="Z14" s="337">
        <v>7686</v>
      </c>
      <c r="AA14" s="113"/>
      <c r="AB14" s="113"/>
      <c r="AC14" s="332" t="s">
        <v>40</v>
      </c>
      <c r="AD14" s="297" t="s">
        <v>73</v>
      </c>
      <c r="AE14" s="159"/>
      <c r="AF14" s="159"/>
      <c r="AG14" s="297" t="s">
        <v>73</v>
      </c>
      <c r="AH14" s="350"/>
      <c r="AI14" s="297" t="s">
        <v>73</v>
      </c>
      <c r="AJ14" s="351"/>
      <c r="AK14" s="297" t="s">
        <v>73</v>
      </c>
      <c r="AL14" s="352"/>
      <c r="AM14" s="352"/>
      <c r="AN14" s="281"/>
      <c r="AO14" s="353"/>
      <c r="AP14" s="332"/>
    </row>
    <row r="15" spans="1:56" s="113" customFormat="1" ht="15">
      <c r="A15" s="113">
        <v>9</v>
      </c>
      <c r="B15" s="113" t="s">
        <v>58</v>
      </c>
      <c r="C15" s="287">
        <v>4</v>
      </c>
      <c r="D15" s="288"/>
      <c r="E15" s="287" t="s">
        <v>671</v>
      </c>
      <c r="F15" s="288"/>
      <c r="G15" s="288" t="s">
        <v>671</v>
      </c>
      <c r="H15" s="288">
        <v>42</v>
      </c>
      <c r="I15" s="304">
        <v>0.59</v>
      </c>
      <c r="J15" s="288"/>
      <c r="K15" s="287">
        <v>20</v>
      </c>
      <c r="L15" s="288"/>
      <c r="M15" s="333">
        <v>2.1</v>
      </c>
      <c r="N15" s="288">
        <v>81</v>
      </c>
      <c r="O15" s="287">
        <v>99</v>
      </c>
      <c r="P15" s="287">
        <v>99</v>
      </c>
      <c r="Q15" s="287">
        <v>96</v>
      </c>
      <c r="R15" s="288">
        <v>2</v>
      </c>
      <c r="S15" s="87">
        <v>42020</v>
      </c>
      <c r="T15" s="305" t="s">
        <v>39</v>
      </c>
      <c r="U15" s="87">
        <v>42073</v>
      </c>
      <c r="V15" s="306">
        <v>6</v>
      </c>
      <c r="W15" s="335">
        <v>0.095</v>
      </c>
      <c r="X15" s="335">
        <v>0.032</v>
      </c>
      <c r="Y15" s="336">
        <v>0.26</v>
      </c>
      <c r="Z15" s="337">
        <v>1116</v>
      </c>
      <c r="AC15" s="332" t="s">
        <v>39</v>
      </c>
      <c r="AD15" s="327" t="s">
        <v>58</v>
      </c>
      <c r="AE15" s="354"/>
      <c r="AF15" s="355"/>
      <c r="AG15" s="327" t="s">
        <v>58</v>
      </c>
      <c r="AH15" s="328"/>
      <c r="AI15" s="327" t="s">
        <v>58</v>
      </c>
      <c r="AJ15" s="354"/>
      <c r="AK15" s="327"/>
      <c r="AL15" s="281"/>
      <c r="AM15" s="299"/>
      <c r="AN15" s="281"/>
      <c r="AO15" s="281"/>
      <c r="AP15" s="299"/>
      <c r="AQ15" s="281"/>
      <c r="AR15" s="281"/>
      <c r="AS15" s="299"/>
      <c r="AV15" s="299"/>
      <c r="AX15" s="299"/>
      <c r="AZ15" s="299"/>
      <c r="BC15" s="299"/>
      <c r="BD15" s="332"/>
    </row>
    <row r="16" spans="1:55" ht="15">
      <c r="A16" s="114">
        <v>10</v>
      </c>
      <c r="B16" s="114" t="s">
        <v>61</v>
      </c>
      <c r="C16" s="287">
        <v>7</v>
      </c>
      <c r="D16" s="288" t="s">
        <v>671</v>
      </c>
      <c r="E16" s="288" t="s">
        <v>671</v>
      </c>
      <c r="F16" s="288"/>
      <c r="G16" s="288"/>
      <c r="H16" s="288">
        <v>48</v>
      </c>
      <c r="I16" s="267">
        <v>0.35</v>
      </c>
      <c r="J16" s="288"/>
      <c r="K16" s="288">
        <v>104</v>
      </c>
      <c r="L16" s="288"/>
      <c r="M16" s="289">
        <v>1.1</v>
      </c>
      <c r="N16" s="288">
        <v>78</v>
      </c>
      <c r="O16" s="287">
        <v>99</v>
      </c>
      <c r="P16" s="287">
        <v>97</v>
      </c>
      <c r="Q16" s="288">
        <v>94</v>
      </c>
      <c r="R16" s="288">
        <v>2</v>
      </c>
      <c r="S16" s="116">
        <v>42040</v>
      </c>
      <c r="T16" s="292" t="s">
        <v>50</v>
      </c>
      <c r="U16" s="116">
        <v>42201</v>
      </c>
      <c r="V16" s="383">
        <v>2</v>
      </c>
      <c r="W16" s="335">
        <v>0.265</v>
      </c>
      <c r="X16" s="335">
        <v>0.192</v>
      </c>
      <c r="Y16" s="336">
        <v>0.488</v>
      </c>
      <c r="Z16" s="320">
        <v>3244</v>
      </c>
      <c r="AA16" s="113"/>
      <c r="AB16" s="113"/>
      <c r="AF16" s="356" t="s">
        <v>50</v>
      </c>
      <c r="AG16" s="343" t="s">
        <v>61</v>
      </c>
      <c r="AH16" s="357"/>
      <c r="AI16" s="343" t="s">
        <v>61</v>
      </c>
      <c r="AJ16" s="358"/>
      <c r="AK16" s="343" t="s">
        <v>61</v>
      </c>
      <c r="AL16" s="359"/>
      <c r="AM16" s="343" t="s">
        <v>61</v>
      </c>
      <c r="AN16" s="359"/>
      <c r="AO16" s="359"/>
      <c r="AP16" s="343" t="s">
        <v>61</v>
      </c>
      <c r="AQ16" s="359"/>
      <c r="AR16" s="359"/>
      <c r="AS16" s="343" t="s">
        <v>61</v>
      </c>
      <c r="AT16" s="358"/>
      <c r="AU16" s="358"/>
      <c r="AV16" s="343" t="s">
        <v>61</v>
      </c>
      <c r="AW16" s="358"/>
      <c r="AX16" s="343" t="s">
        <v>61</v>
      </c>
      <c r="AY16" s="358"/>
      <c r="AZ16" s="343" t="s">
        <v>61</v>
      </c>
      <c r="BA16" s="358"/>
      <c r="BB16" s="343" t="s">
        <v>61</v>
      </c>
      <c r="BC16" s="360" t="s">
        <v>677</v>
      </c>
    </row>
    <row r="17" spans="1:56" s="113" customFormat="1" ht="15">
      <c r="A17" s="113">
        <v>11</v>
      </c>
      <c r="B17" s="113" t="s">
        <v>52</v>
      </c>
      <c r="C17" s="288"/>
      <c r="D17" s="288" t="s">
        <v>671</v>
      </c>
      <c r="E17" s="288"/>
      <c r="F17" s="288"/>
      <c r="G17" s="288"/>
      <c r="H17" s="288"/>
      <c r="I17" s="267">
        <v>0.14</v>
      </c>
      <c r="J17" s="288"/>
      <c r="K17" s="288">
        <v>258</v>
      </c>
      <c r="L17" s="287" t="s">
        <v>671</v>
      </c>
      <c r="M17" s="333">
        <v>1.9</v>
      </c>
      <c r="N17" s="288"/>
      <c r="O17" s="287">
        <v>97</v>
      </c>
      <c r="P17" s="288">
        <v>80</v>
      </c>
      <c r="Q17" s="287">
        <v>98</v>
      </c>
      <c r="R17" s="288">
        <v>2</v>
      </c>
      <c r="S17" s="87">
        <v>42046</v>
      </c>
      <c r="T17" s="305" t="s">
        <v>676</v>
      </c>
      <c r="U17" s="87">
        <v>42180</v>
      </c>
      <c r="V17" s="382">
        <v>10</v>
      </c>
      <c r="W17" s="335">
        <v>0.375</v>
      </c>
      <c r="X17" s="335">
        <v>0.233</v>
      </c>
      <c r="Y17" s="336">
        <v>0.488</v>
      </c>
      <c r="Z17" s="320">
        <v>8244</v>
      </c>
      <c r="AF17" s="332" t="s">
        <v>676</v>
      </c>
      <c r="AG17" s="361" t="s">
        <v>52</v>
      </c>
      <c r="AH17" s="362"/>
      <c r="AI17" s="361" t="s">
        <v>52</v>
      </c>
      <c r="AJ17" s="363"/>
      <c r="AK17" s="361" t="s">
        <v>52</v>
      </c>
      <c r="AL17" s="364"/>
      <c r="AM17" s="361" t="s">
        <v>52</v>
      </c>
      <c r="AN17" s="364"/>
      <c r="AO17" s="364"/>
      <c r="AP17" s="361" t="s">
        <v>52</v>
      </c>
      <c r="AQ17" s="364"/>
      <c r="AR17" s="364"/>
      <c r="AS17" s="361" t="s">
        <v>52</v>
      </c>
      <c r="AT17" s="363"/>
      <c r="AU17" s="363"/>
      <c r="AV17" s="361" t="s">
        <v>52</v>
      </c>
      <c r="AW17" s="363"/>
      <c r="AX17" s="361" t="s">
        <v>52</v>
      </c>
      <c r="AY17" s="363"/>
      <c r="AZ17" s="361" t="s">
        <v>52</v>
      </c>
      <c r="BC17" s="299"/>
      <c r="BD17" s="332"/>
    </row>
    <row r="18" spans="1:51" s="113" customFormat="1" ht="15">
      <c r="A18" s="113">
        <v>12</v>
      </c>
      <c r="B18" s="113" t="s">
        <v>39</v>
      </c>
      <c r="C18" s="287">
        <v>6</v>
      </c>
      <c r="D18" s="288"/>
      <c r="E18" s="288"/>
      <c r="F18" s="288"/>
      <c r="G18" s="288"/>
      <c r="H18" s="288"/>
      <c r="I18" s="267">
        <v>0.48</v>
      </c>
      <c r="J18" s="288"/>
      <c r="K18" s="287">
        <v>7</v>
      </c>
      <c r="L18" s="288"/>
      <c r="M18" s="365">
        <v>6.8</v>
      </c>
      <c r="N18" s="366">
        <v>95</v>
      </c>
      <c r="O18" s="287">
        <v>99</v>
      </c>
      <c r="P18" s="287">
        <v>98</v>
      </c>
      <c r="Q18" s="287">
        <v>97</v>
      </c>
      <c r="R18" s="291">
        <v>4</v>
      </c>
      <c r="S18" s="87">
        <v>42062</v>
      </c>
      <c r="T18" s="305" t="s">
        <v>58</v>
      </c>
      <c r="U18" s="87">
        <v>42174</v>
      </c>
      <c r="V18" s="382">
        <v>24</v>
      </c>
      <c r="W18" s="335">
        <v>1.061</v>
      </c>
      <c r="X18" s="335">
        <v>0.639</v>
      </c>
      <c r="Y18" s="336">
        <v>4.009</v>
      </c>
      <c r="Z18" s="320">
        <v>48741</v>
      </c>
      <c r="AH18" s="332"/>
      <c r="AJ18" s="332" t="s">
        <v>58</v>
      </c>
      <c r="AK18" s="327" t="s">
        <v>39</v>
      </c>
      <c r="AL18" s="327"/>
      <c r="AM18" s="327" t="s">
        <v>39</v>
      </c>
      <c r="AN18" s="367"/>
      <c r="AO18" s="354"/>
      <c r="AP18" s="327" t="s">
        <v>39</v>
      </c>
      <c r="AQ18" s="354"/>
      <c r="AR18" s="354"/>
      <c r="AS18" s="327" t="s">
        <v>39</v>
      </c>
      <c r="AT18" s="354"/>
      <c r="AU18" s="354"/>
      <c r="AV18" s="327" t="s">
        <v>39</v>
      </c>
      <c r="AW18" s="354"/>
      <c r="AX18" s="327" t="s">
        <v>39</v>
      </c>
      <c r="AY18" s="368"/>
    </row>
    <row r="19" spans="1:58" ht="15">
      <c r="A19" s="113">
        <v>13</v>
      </c>
      <c r="B19" s="113" t="s">
        <v>169</v>
      </c>
      <c r="C19" s="288">
        <v>41</v>
      </c>
      <c r="H19" s="317">
        <v>111</v>
      </c>
      <c r="I19" s="267">
        <v>0.4</v>
      </c>
      <c r="K19" s="287">
        <v>82</v>
      </c>
      <c r="M19" s="333">
        <v>2.3</v>
      </c>
      <c r="N19" s="288"/>
      <c r="O19" s="288">
        <v>95</v>
      </c>
      <c r="P19" s="288">
        <v>94</v>
      </c>
      <c r="Q19" s="288">
        <v>88</v>
      </c>
      <c r="R19" s="288">
        <v>2</v>
      </c>
      <c r="S19" s="116">
        <v>42076</v>
      </c>
      <c r="T19" s="292" t="s">
        <v>60</v>
      </c>
      <c r="U19" s="116">
        <v>42220</v>
      </c>
      <c r="V19" s="383">
        <v>2</v>
      </c>
      <c r="W19" s="318">
        <v>0.257</v>
      </c>
      <c r="X19" s="318">
        <v>0.203</v>
      </c>
      <c r="Y19" s="319">
        <v>0.598</v>
      </c>
      <c r="Z19" s="320">
        <v>10088</v>
      </c>
      <c r="AK19" s="356" t="s">
        <v>60</v>
      </c>
      <c r="AL19" s="345" t="s">
        <v>169</v>
      </c>
      <c r="AM19" s="369"/>
      <c r="AN19" s="369"/>
      <c r="AO19" s="369"/>
      <c r="AP19" s="345" t="s">
        <v>169</v>
      </c>
      <c r="AQ19" s="369"/>
      <c r="AR19" s="369"/>
      <c r="AS19" s="345" t="s">
        <v>169</v>
      </c>
      <c r="AT19" s="369"/>
      <c r="AU19" s="369"/>
      <c r="AV19" s="345" t="s">
        <v>169</v>
      </c>
      <c r="AW19" s="369"/>
      <c r="AX19" s="345" t="s">
        <v>169</v>
      </c>
      <c r="AY19" s="369"/>
      <c r="AZ19" s="345" t="s">
        <v>169</v>
      </c>
      <c r="BA19" s="369"/>
      <c r="BB19" s="369"/>
      <c r="BC19" s="345" t="s">
        <v>169</v>
      </c>
      <c r="BD19" s="369"/>
      <c r="BE19" s="345" t="s">
        <v>169</v>
      </c>
      <c r="BF19" s="369"/>
    </row>
    <row r="20" spans="1:49" ht="15">
      <c r="A20" s="113">
        <v>14</v>
      </c>
      <c r="B20" s="113" t="s">
        <v>45</v>
      </c>
      <c r="C20" s="287">
        <v>14</v>
      </c>
      <c r="I20" s="304">
        <v>0.73</v>
      </c>
      <c r="K20" s="288">
        <v>119</v>
      </c>
      <c r="M20" s="333">
        <v>2.3</v>
      </c>
      <c r="N20" s="288"/>
      <c r="O20" s="288">
        <v>95</v>
      </c>
      <c r="P20" s="287">
        <v>97</v>
      </c>
      <c r="Q20" s="288">
        <v>91</v>
      </c>
      <c r="R20" s="288">
        <v>2</v>
      </c>
      <c r="S20" s="116">
        <v>42080</v>
      </c>
      <c r="T20" s="292" t="s">
        <v>64</v>
      </c>
      <c r="U20" s="116">
        <v>42160</v>
      </c>
      <c r="V20" s="383" t="s">
        <v>678</v>
      </c>
      <c r="W20" s="318">
        <v>0.755</v>
      </c>
      <c r="X20" s="318">
        <v>0.428</v>
      </c>
      <c r="Y20" s="319">
        <v>4.06</v>
      </c>
      <c r="Z20" s="320">
        <v>49625</v>
      </c>
      <c r="AL20" s="356" t="s">
        <v>64</v>
      </c>
      <c r="AM20" s="297" t="s">
        <v>45</v>
      </c>
      <c r="AN20" s="159"/>
      <c r="AO20" s="159"/>
      <c r="AP20" s="297" t="s">
        <v>45</v>
      </c>
      <c r="AQ20" s="159"/>
      <c r="AR20" s="159"/>
      <c r="AS20" s="297" t="s">
        <v>45</v>
      </c>
      <c r="AT20" s="159"/>
      <c r="AU20" s="159"/>
      <c r="AV20" s="159"/>
      <c r="AW20" s="159"/>
    </row>
    <row r="21" spans="1:49" ht="15">
      <c r="A21" s="113">
        <v>15</v>
      </c>
      <c r="B21" s="113" t="s">
        <v>43</v>
      </c>
      <c r="C21" s="287">
        <v>16</v>
      </c>
      <c r="I21" s="304">
        <v>0.99</v>
      </c>
      <c r="K21" s="287">
        <v>67</v>
      </c>
      <c r="M21" s="289">
        <v>0.6</v>
      </c>
      <c r="N21" s="288"/>
      <c r="O21" s="287">
        <v>99</v>
      </c>
      <c r="P21" s="288">
        <v>96</v>
      </c>
      <c r="Q21" s="288">
        <v>92</v>
      </c>
      <c r="R21" s="288">
        <v>2</v>
      </c>
      <c r="S21" s="116">
        <v>42082</v>
      </c>
      <c r="T21" s="292" t="s">
        <v>73</v>
      </c>
      <c r="U21" s="116">
        <v>42088</v>
      </c>
      <c r="V21" s="293">
        <v>1</v>
      </c>
      <c r="W21" s="294">
        <v>-0.061</v>
      </c>
      <c r="X21" s="294">
        <v>-0.061</v>
      </c>
      <c r="Y21" s="295">
        <v>-0.977</v>
      </c>
      <c r="Z21" s="295">
        <v>-12.19</v>
      </c>
      <c r="AL21" s="356" t="s">
        <v>73</v>
      </c>
      <c r="AM21" s="370" t="s">
        <v>43</v>
      </c>
      <c r="AN21" s="113"/>
      <c r="AO21" s="113"/>
      <c r="AP21" s="299"/>
      <c r="AQ21" s="113"/>
      <c r="AR21" s="113"/>
      <c r="AS21" s="299"/>
      <c r="AT21" s="113"/>
      <c r="AU21" s="113"/>
      <c r="AV21" s="113"/>
      <c r="AW21" s="113"/>
    </row>
    <row r="22" spans="1:71" ht="15">
      <c r="A22" s="113">
        <v>16</v>
      </c>
      <c r="B22" s="113" t="s">
        <v>208</v>
      </c>
      <c r="C22" s="288">
        <v>27</v>
      </c>
      <c r="G22" s="114" t="s">
        <v>671</v>
      </c>
      <c r="H22" s="317">
        <v>84</v>
      </c>
      <c r="I22" s="304">
        <v>0.56</v>
      </c>
      <c r="J22" s="371" t="s">
        <v>671</v>
      </c>
      <c r="K22" s="288">
        <v>119</v>
      </c>
      <c r="M22" s="289">
        <v>0.7</v>
      </c>
      <c r="N22" s="288"/>
      <c r="O22" s="287">
        <v>98</v>
      </c>
      <c r="P22" s="288">
        <v>95</v>
      </c>
      <c r="Q22" s="288">
        <v>92</v>
      </c>
      <c r="R22" s="288">
        <v>3</v>
      </c>
      <c r="S22" s="116">
        <v>42090</v>
      </c>
      <c r="T22" s="292" t="s">
        <v>679</v>
      </c>
      <c r="U22" s="116">
        <v>42237</v>
      </c>
      <c r="V22" s="293">
        <v>6</v>
      </c>
      <c r="W22" s="318">
        <v>0.122</v>
      </c>
      <c r="X22" s="318">
        <v>0.101</v>
      </c>
      <c r="Y22" s="319">
        <v>0.271</v>
      </c>
      <c r="Z22" s="320">
        <v>4092</v>
      </c>
      <c r="AM22" s="356" t="s">
        <v>680</v>
      </c>
      <c r="AN22" s="321" t="s">
        <v>208</v>
      </c>
      <c r="AO22" s="372"/>
      <c r="AP22" s="372"/>
      <c r="AQ22" s="321" t="s">
        <v>208</v>
      </c>
      <c r="AR22" s="372"/>
      <c r="AS22" s="372"/>
      <c r="AT22" s="321" t="s">
        <v>208</v>
      </c>
      <c r="AU22" s="372"/>
      <c r="AV22" s="321" t="s">
        <v>208</v>
      </c>
      <c r="AW22" s="372"/>
      <c r="AX22" s="372"/>
      <c r="AY22" s="372"/>
      <c r="AZ22" s="321" t="s">
        <v>208</v>
      </c>
      <c r="BA22" s="372"/>
      <c r="BB22" s="372"/>
      <c r="BC22" s="321" t="s">
        <v>208</v>
      </c>
      <c r="BD22" s="372"/>
      <c r="BE22" s="372"/>
      <c r="BF22" s="321" t="s">
        <v>208</v>
      </c>
      <c r="BG22" s="372"/>
      <c r="BH22" s="321" t="s">
        <v>208</v>
      </c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</row>
    <row r="23" spans="1:51" ht="15">
      <c r="A23" s="113">
        <v>17</v>
      </c>
      <c r="B23" s="113" t="s">
        <v>49</v>
      </c>
      <c r="I23" s="304">
        <v>0.68</v>
      </c>
      <c r="K23" s="288">
        <v>126</v>
      </c>
      <c r="M23" s="289">
        <v>0.8</v>
      </c>
      <c r="N23" s="288"/>
      <c r="O23" s="287">
        <v>98</v>
      </c>
      <c r="P23" s="288">
        <v>76</v>
      </c>
      <c r="Q23" s="288">
        <v>89</v>
      </c>
      <c r="R23" s="287">
        <v>1</v>
      </c>
      <c r="S23" s="116">
        <v>42117</v>
      </c>
      <c r="T23" s="292" t="s">
        <v>92</v>
      </c>
      <c r="U23" s="116">
        <v>42166</v>
      </c>
      <c r="V23" s="383" t="s">
        <v>681</v>
      </c>
      <c r="W23" s="318">
        <v>0.276</v>
      </c>
      <c r="X23" s="318">
        <v>0.223</v>
      </c>
      <c r="Y23" s="319">
        <v>3.492</v>
      </c>
      <c r="Z23" s="320">
        <v>13814</v>
      </c>
      <c r="AP23" s="356" t="s">
        <v>92</v>
      </c>
      <c r="AQ23" s="310" t="s">
        <v>49</v>
      </c>
      <c r="AR23" s="316"/>
      <c r="AS23" s="316"/>
      <c r="AT23" s="310" t="s">
        <v>49</v>
      </c>
      <c r="AU23" s="316"/>
      <c r="AV23" s="310" t="s">
        <v>49</v>
      </c>
      <c r="AW23" s="316"/>
      <c r="AX23" s="310"/>
      <c r="AY23" s="113"/>
    </row>
    <row r="24" spans="1:58" s="113" customFormat="1" ht="15">
      <c r="A24" s="113">
        <v>18</v>
      </c>
      <c r="B24" s="113" t="s">
        <v>66</v>
      </c>
      <c r="C24" s="114">
        <v>5</v>
      </c>
      <c r="D24" s="114"/>
      <c r="E24" s="114"/>
      <c r="F24" s="114"/>
      <c r="G24" s="114"/>
      <c r="H24" s="317">
        <v>72</v>
      </c>
      <c r="I24" s="267">
        <v>0.3</v>
      </c>
      <c r="J24" s="114"/>
      <c r="K24" s="287">
        <v>256</v>
      </c>
      <c r="L24" s="114"/>
      <c r="M24" s="289">
        <v>1.7</v>
      </c>
      <c r="N24" s="288">
        <v>85</v>
      </c>
      <c r="O24" s="287">
        <v>99</v>
      </c>
      <c r="P24" s="287">
        <v>99</v>
      </c>
      <c r="Q24" s="287">
        <v>97</v>
      </c>
      <c r="R24" s="288">
        <v>2</v>
      </c>
      <c r="S24" s="116">
        <v>42156</v>
      </c>
      <c r="T24" s="373" t="s">
        <v>682</v>
      </c>
      <c r="U24" s="116">
        <v>42220</v>
      </c>
      <c r="V24" s="383">
        <v>2</v>
      </c>
      <c r="W24" s="318">
        <v>0.292</v>
      </c>
      <c r="X24" s="318">
        <v>0.231</v>
      </c>
      <c r="Y24" s="319">
        <v>2.264</v>
      </c>
      <c r="Z24" s="320">
        <v>48636</v>
      </c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N24" s="114"/>
      <c r="AO24" s="114"/>
      <c r="AP24" s="114"/>
      <c r="AQ24" s="114"/>
      <c r="AR24" s="114"/>
      <c r="AS24" s="114"/>
      <c r="AT24" s="114"/>
      <c r="AU24" s="114"/>
      <c r="AV24" s="356" t="s">
        <v>683</v>
      </c>
      <c r="AW24" s="297" t="s">
        <v>684</v>
      </c>
      <c r="AX24" s="297"/>
      <c r="AY24" s="159"/>
      <c r="AZ24" s="297" t="s">
        <v>684</v>
      </c>
      <c r="BA24" s="159"/>
      <c r="BB24" s="159"/>
      <c r="BC24" s="297" t="s">
        <v>684</v>
      </c>
      <c r="BD24" s="159"/>
      <c r="BE24" s="297" t="s">
        <v>684</v>
      </c>
      <c r="BF24" s="159"/>
    </row>
    <row r="25" spans="1:60" s="113" customFormat="1" ht="15">
      <c r="A25" s="113">
        <v>19</v>
      </c>
      <c r="B25" s="114" t="s">
        <v>59</v>
      </c>
      <c r="I25" s="304">
        <v>0.59</v>
      </c>
      <c r="K25" s="287">
        <v>48</v>
      </c>
      <c r="M25" s="333">
        <v>2.7</v>
      </c>
      <c r="N25" s="288"/>
      <c r="O25" s="288">
        <v>78</v>
      </c>
      <c r="P25" s="288">
        <v>37</v>
      </c>
      <c r="Q25" s="288">
        <v>81</v>
      </c>
      <c r="R25" s="287">
        <v>1</v>
      </c>
      <c r="S25" s="87">
        <v>42164</v>
      </c>
      <c r="T25" s="374" t="s">
        <v>685</v>
      </c>
      <c r="U25" s="87">
        <v>42233</v>
      </c>
      <c r="V25" s="383" t="s">
        <v>681</v>
      </c>
      <c r="W25" s="307">
        <v>0.357</v>
      </c>
      <c r="X25" s="307">
        <v>0.265</v>
      </c>
      <c r="Y25" s="308">
        <v>2.46</v>
      </c>
      <c r="Z25" s="320">
        <v>61966</v>
      </c>
      <c r="AL25" s="332"/>
      <c r="AM25" s="299"/>
      <c r="AP25" s="299"/>
      <c r="AS25" s="299"/>
      <c r="AV25" s="332"/>
      <c r="AW25" s="332" t="s">
        <v>686</v>
      </c>
      <c r="AX25" s="310" t="s">
        <v>59</v>
      </c>
      <c r="AY25" s="316"/>
      <c r="AZ25" s="310" t="s">
        <v>59</v>
      </c>
      <c r="BA25" s="316"/>
      <c r="BB25" s="316"/>
      <c r="BC25" s="310" t="s">
        <v>59</v>
      </c>
      <c r="BD25" s="316"/>
      <c r="BE25" s="310" t="s">
        <v>59</v>
      </c>
      <c r="BF25" s="316"/>
      <c r="BG25" s="310" t="s">
        <v>59</v>
      </c>
      <c r="BH25" s="316"/>
    </row>
    <row r="26" spans="1:61" ht="15">
      <c r="A26" s="113">
        <v>20</v>
      </c>
      <c r="B26" s="113" t="s">
        <v>48</v>
      </c>
      <c r="F26" s="114" t="s">
        <v>671</v>
      </c>
      <c r="H26" s="317"/>
      <c r="I26" s="304">
        <v>0.76</v>
      </c>
      <c r="K26" s="287">
        <v>26</v>
      </c>
      <c r="M26" s="289">
        <v>0.8</v>
      </c>
      <c r="N26" s="288"/>
      <c r="O26" s="288">
        <v>96</v>
      </c>
      <c r="P26" s="287">
        <v>97</v>
      </c>
      <c r="Q26" s="291">
        <v>74</v>
      </c>
      <c r="R26" s="287">
        <v>1</v>
      </c>
      <c r="S26" s="116">
        <v>42174</v>
      </c>
      <c r="T26" s="374" t="s">
        <v>687</v>
      </c>
      <c r="U26" s="116">
        <v>42237</v>
      </c>
      <c r="V26" s="293">
        <v>6</v>
      </c>
      <c r="W26" s="318">
        <v>0.06</v>
      </c>
      <c r="X26" s="318">
        <v>0.025</v>
      </c>
      <c r="Y26" s="319">
        <v>0.155</v>
      </c>
      <c r="Z26" s="320">
        <v>4751</v>
      </c>
      <c r="AM26" s="113"/>
      <c r="AY26" s="356" t="s">
        <v>688</v>
      </c>
      <c r="AZ26" s="368" t="s">
        <v>48</v>
      </c>
      <c r="BA26" s="375"/>
      <c r="BB26" s="375"/>
      <c r="BC26" s="368" t="s">
        <v>48</v>
      </c>
      <c r="BD26" s="375"/>
      <c r="BE26" s="368" t="s">
        <v>48</v>
      </c>
      <c r="BF26" s="375"/>
      <c r="BG26" s="368" t="s">
        <v>48</v>
      </c>
      <c r="BH26" s="375"/>
      <c r="BI26" s="375"/>
    </row>
    <row r="27" spans="1:63" s="113" customFormat="1" ht="15">
      <c r="A27" s="113">
        <v>21</v>
      </c>
      <c r="B27" s="113" t="s">
        <v>68</v>
      </c>
      <c r="H27" s="288"/>
      <c r="I27" s="267">
        <v>0.24</v>
      </c>
      <c r="K27" s="288">
        <v>211</v>
      </c>
      <c r="L27" s="371" t="s">
        <v>671</v>
      </c>
      <c r="M27" s="333">
        <v>1.9</v>
      </c>
      <c r="N27" s="288">
        <v>84</v>
      </c>
      <c r="O27" s="287">
        <v>98</v>
      </c>
      <c r="P27" s="288">
        <v>96</v>
      </c>
      <c r="Q27" s="288">
        <v>96</v>
      </c>
      <c r="R27" s="288">
        <v>2</v>
      </c>
      <c r="S27" s="87">
        <v>42201</v>
      </c>
      <c r="T27" s="374" t="s">
        <v>61</v>
      </c>
      <c r="U27" s="87">
        <v>42237</v>
      </c>
      <c r="V27" s="306">
        <v>6</v>
      </c>
      <c r="W27" s="307">
        <v>0.424</v>
      </c>
      <c r="X27" s="307">
        <v>0.328</v>
      </c>
      <c r="Y27" s="308">
        <v>16.45</v>
      </c>
      <c r="Z27" s="320">
        <v>41154</v>
      </c>
      <c r="AY27" s="332"/>
      <c r="BC27" s="332" t="s">
        <v>61</v>
      </c>
      <c r="BD27" s="343" t="s">
        <v>68</v>
      </c>
      <c r="BE27" s="358"/>
      <c r="BF27" s="358"/>
      <c r="BG27" s="343" t="s">
        <v>68</v>
      </c>
      <c r="BH27" s="358"/>
      <c r="BI27" s="358"/>
      <c r="BJ27" s="343" t="s">
        <v>68</v>
      </c>
      <c r="BK27" s="358"/>
    </row>
    <row r="28" spans="1:64" s="113" customFormat="1" ht="15">
      <c r="A28" s="113">
        <v>22</v>
      </c>
      <c r="B28" s="113" t="s">
        <v>65</v>
      </c>
      <c r="C28" s="371">
        <v>2</v>
      </c>
      <c r="E28" s="371" t="s">
        <v>671</v>
      </c>
      <c r="H28" s="288"/>
      <c r="I28" s="267">
        <v>0.35</v>
      </c>
      <c r="K28" s="288">
        <v>142</v>
      </c>
      <c r="L28" s="113" t="s">
        <v>671</v>
      </c>
      <c r="M28" s="333">
        <v>4.2</v>
      </c>
      <c r="N28" s="288"/>
      <c r="O28" s="287">
        <v>99</v>
      </c>
      <c r="P28" s="287">
        <v>99</v>
      </c>
      <c r="Q28" s="287">
        <v>96</v>
      </c>
      <c r="R28" s="288">
        <v>3</v>
      </c>
      <c r="S28" s="87">
        <v>42221</v>
      </c>
      <c r="T28" s="374" t="s">
        <v>689</v>
      </c>
      <c r="U28" s="87">
        <v>42263</v>
      </c>
      <c r="V28" s="306" t="s">
        <v>690</v>
      </c>
      <c r="W28" s="307">
        <v>0.056</v>
      </c>
      <c r="X28" s="307">
        <v>0.034</v>
      </c>
      <c r="Y28" s="308">
        <v>0.369</v>
      </c>
      <c r="Z28" s="320">
        <v>7466</v>
      </c>
      <c r="AY28" s="332"/>
      <c r="BE28" s="332" t="s">
        <v>689</v>
      </c>
      <c r="BF28" s="345" t="s">
        <v>65</v>
      </c>
      <c r="BG28" s="369"/>
      <c r="BH28" s="345" t="s">
        <v>65</v>
      </c>
      <c r="BI28" s="369"/>
      <c r="BJ28" s="369"/>
      <c r="BK28" s="345" t="s">
        <v>65</v>
      </c>
      <c r="BL28" s="369"/>
    </row>
    <row r="29" spans="1:63" s="113" customFormat="1" ht="15">
      <c r="A29" s="113">
        <v>23</v>
      </c>
      <c r="B29" s="376" t="s">
        <v>40</v>
      </c>
      <c r="C29" s="113" t="s">
        <v>691</v>
      </c>
      <c r="H29" s="288"/>
      <c r="I29" s="267"/>
      <c r="K29" s="288"/>
      <c r="M29" s="289"/>
      <c r="N29" s="288"/>
      <c r="O29" s="288"/>
      <c r="P29" s="288"/>
      <c r="Q29" s="288"/>
      <c r="R29" s="288"/>
      <c r="S29" s="87">
        <v>42242</v>
      </c>
      <c r="T29" s="374"/>
      <c r="U29" s="87">
        <v>42221</v>
      </c>
      <c r="V29" s="306" t="s">
        <v>372</v>
      </c>
      <c r="W29" s="307">
        <v>0.28</v>
      </c>
      <c r="X29" s="307">
        <v>0.28</v>
      </c>
      <c r="Y29" s="308"/>
      <c r="Z29" s="309">
        <v>12404</v>
      </c>
      <c r="AY29" s="332"/>
      <c r="BE29" s="332" t="s">
        <v>676</v>
      </c>
      <c r="BF29" s="377" t="s">
        <v>40</v>
      </c>
      <c r="BG29" s="376"/>
      <c r="BH29" s="377"/>
      <c r="BI29" s="377" t="s">
        <v>40</v>
      </c>
      <c r="BK29" s="299"/>
    </row>
    <row r="30" spans="1:63" s="113" customFormat="1" ht="15">
      <c r="A30" s="113">
        <v>24</v>
      </c>
      <c r="B30" s="376" t="s">
        <v>356</v>
      </c>
      <c r="C30" s="113" t="s">
        <v>691</v>
      </c>
      <c r="H30" s="288"/>
      <c r="I30" s="267"/>
      <c r="K30" s="288"/>
      <c r="M30" s="289"/>
      <c r="N30" s="288"/>
      <c r="O30" s="288"/>
      <c r="P30" s="288"/>
      <c r="Q30" s="288"/>
      <c r="R30" s="288"/>
      <c r="S30" s="87">
        <v>42240</v>
      </c>
      <c r="T30" s="374"/>
      <c r="U30" s="87">
        <v>42227</v>
      </c>
      <c r="V30" s="306" t="s">
        <v>372</v>
      </c>
      <c r="W30" s="307">
        <v>0.279</v>
      </c>
      <c r="X30" s="307">
        <v>0.279</v>
      </c>
      <c r="Y30" s="308"/>
      <c r="Z30" s="309">
        <v>18837</v>
      </c>
      <c r="AY30" s="332"/>
      <c r="BE30" s="332"/>
      <c r="BF30" s="332" t="s">
        <v>676</v>
      </c>
      <c r="BG30" s="378" t="s">
        <v>356</v>
      </c>
      <c r="BH30" s="378"/>
      <c r="BI30" s="378" t="s">
        <v>356</v>
      </c>
      <c r="BK30" s="299"/>
    </row>
    <row r="31" spans="1:63" s="113" customFormat="1" ht="15">
      <c r="A31" s="113">
        <v>25</v>
      </c>
      <c r="B31" s="376" t="s">
        <v>36</v>
      </c>
      <c r="C31" s="113" t="s">
        <v>691</v>
      </c>
      <c r="H31" s="288"/>
      <c r="I31" s="267"/>
      <c r="K31" s="288"/>
      <c r="M31" s="289"/>
      <c r="N31" s="288"/>
      <c r="O31" s="288"/>
      <c r="P31" s="288"/>
      <c r="Q31" s="288"/>
      <c r="R31" s="288"/>
      <c r="S31" s="87">
        <v>42240</v>
      </c>
      <c r="T31" s="374"/>
      <c r="U31" s="87">
        <v>42235</v>
      </c>
      <c r="V31" s="306" t="s">
        <v>372</v>
      </c>
      <c r="W31" s="307">
        <v>0.28</v>
      </c>
      <c r="X31" s="307">
        <v>0.28</v>
      </c>
      <c r="Y31" s="308"/>
      <c r="Z31" s="309">
        <v>22413</v>
      </c>
      <c r="AY31" s="332"/>
      <c r="BE31" s="332"/>
      <c r="BF31" s="299"/>
      <c r="BG31" s="332" t="s">
        <v>59</v>
      </c>
      <c r="BH31" s="379" t="s">
        <v>36</v>
      </c>
      <c r="BI31" s="379" t="s">
        <v>36</v>
      </c>
      <c r="BK31" s="299"/>
    </row>
    <row r="32" spans="1:71" s="113" customFormat="1" ht="15">
      <c r="A32" s="113">
        <v>26</v>
      </c>
      <c r="B32" s="113" t="s">
        <v>383</v>
      </c>
      <c r="G32" s="113" t="s">
        <v>671</v>
      </c>
      <c r="H32" s="288">
        <v>119</v>
      </c>
      <c r="I32" s="267">
        <v>0.13</v>
      </c>
      <c r="K32" s="288">
        <v>905</v>
      </c>
      <c r="M32" s="289">
        <v>1.1</v>
      </c>
      <c r="N32" s="288" t="s">
        <v>675</v>
      </c>
      <c r="O32" s="288">
        <v>95</v>
      </c>
      <c r="P32" s="288">
        <v>99</v>
      </c>
      <c r="Q32" s="288">
        <v>98</v>
      </c>
      <c r="R32" s="288">
        <v>2</v>
      </c>
      <c r="S32" s="87">
        <v>42242</v>
      </c>
      <c r="T32" s="374"/>
      <c r="U32" s="87"/>
      <c r="V32" s="306"/>
      <c r="W32" s="307"/>
      <c r="X32" s="307"/>
      <c r="Y32" s="308"/>
      <c r="Z32" s="320"/>
      <c r="AY32" s="332"/>
      <c r="BH32" s="332" t="s">
        <v>80</v>
      </c>
      <c r="BI32" s="338" t="s">
        <v>383</v>
      </c>
      <c r="BJ32" s="339"/>
      <c r="BK32" s="339"/>
      <c r="BL32" s="338" t="s">
        <v>383</v>
      </c>
      <c r="BM32" s="339"/>
      <c r="BN32" s="339"/>
      <c r="BO32" s="338" t="s">
        <v>383</v>
      </c>
      <c r="BP32" s="339"/>
      <c r="BQ32" s="338" t="s">
        <v>383</v>
      </c>
      <c r="BR32" s="339"/>
      <c r="BS32" s="338" t="s">
        <v>383</v>
      </c>
    </row>
    <row r="33" spans="1:71" s="113" customFormat="1" ht="15">
      <c r="A33" s="113">
        <v>27</v>
      </c>
      <c r="B33" s="113" t="s">
        <v>388</v>
      </c>
      <c r="H33" s="288">
        <v>99</v>
      </c>
      <c r="I33" s="267">
        <v>0.49</v>
      </c>
      <c r="K33" s="288">
        <v>331</v>
      </c>
      <c r="M33" s="289">
        <v>0.7</v>
      </c>
      <c r="N33" s="288" t="s">
        <v>675</v>
      </c>
      <c r="O33" s="288">
        <v>99</v>
      </c>
      <c r="P33" s="288">
        <v>97</v>
      </c>
      <c r="Q33" s="288">
        <v>94</v>
      </c>
      <c r="R33" s="287">
        <v>1</v>
      </c>
      <c r="S33" s="87">
        <v>42244</v>
      </c>
      <c r="T33" s="374"/>
      <c r="U33" s="87"/>
      <c r="V33" s="306"/>
      <c r="W33" s="307"/>
      <c r="X33" s="307"/>
      <c r="Y33" s="308"/>
      <c r="Z33" s="320"/>
      <c r="AY33" s="332"/>
      <c r="BH33" s="332" t="s">
        <v>208</v>
      </c>
      <c r="BI33" s="321" t="s">
        <v>388</v>
      </c>
      <c r="BJ33" s="372"/>
      <c r="BK33" s="372"/>
      <c r="BL33" s="321" t="s">
        <v>388</v>
      </c>
      <c r="BM33" s="372"/>
      <c r="BN33" s="372"/>
      <c r="BO33" s="321" t="s">
        <v>388</v>
      </c>
      <c r="BP33" s="372"/>
      <c r="BQ33" s="321" t="s">
        <v>388</v>
      </c>
      <c r="BR33" s="372"/>
      <c r="BS33" s="321" t="s">
        <v>388</v>
      </c>
    </row>
    <row r="34" spans="1:65" s="113" customFormat="1" ht="15">
      <c r="A34" s="113">
        <v>28</v>
      </c>
      <c r="B34" s="113" t="s">
        <v>390</v>
      </c>
      <c r="H34" s="288">
        <v>90</v>
      </c>
      <c r="I34" s="267">
        <v>0.16</v>
      </c>
      <c r="K34" s="288">
        <v>241</v>
      </c>
      <c r="M34" s="333">
        <v>2.7</v>
      </c>
      <c r="N34" s="287">
        <v>88</v>
      </c>
      <c r="O34" s="288">
        <v>96</v>
      </c>
      <c r="P34" s="288">
        <v>96</v>
      </c>
      <c r="Q34" s="288">
        <v>95</v>
      </c>
      <c r="R34" s="288">
        <v>3</v>
      </c>
      <c r="S34" s="87">
        <v>42250</v>
      </c>
      <c r="T34" s="374"/>
      <c r="U34" s="87">
        <v>42272</v>
      </c>
      <c r="V34" s="306">
        <v>5</v>
      </c>
      <c r="W34" s="340">
        <v>-0.029</v>
      </c>
      <c r="X34" s="340">
        <v>-0.045</v>
      </c>
      <c r="Y34" s="341">
        <v>-0.544</v>
      </c>
      <c r="Z34" s="296">
        <v>-9088</v>
      </c>
      <c r="AY34" s="332"/>
      <c r="BI34" s="332" t="s">
        <v>59</v>
      </c>
      <c r="BJ34" s="310" t="s">
        <v>390</v>
      </c>
      <c r="BK34" s="316"/>
      <c r="BL34" s="316"/>
      <c r="BM34" s="310" t="s">
        <v>390</v>
      </c>
    </row>
    <row r="35" spans="1:71" s="113" customFormat="1" ht="15">
      <c r="A35" s="113">
        <v>30</v>
      </c>
      <c r="B35" s="113" t="s">
        <v>406</v>
      </c>
      <c r="H35" s="288">
        <v>85</v>
      </c>
      <c r="I35" s="267">
        <v>0.29</v>
      </c>
      <c r="K35" s="288">
        <v>720</v>
      </c>
      <c r="L35" s="371" t="s">
        <v>671</v>
      </c>
      <c r="M35" s="289">
        <v>0.6</v>
      </c>
      <c r="N35" s="288" t="s">
        <v>675</v>
      </c>
      <c r="O35" s="288">
        <v>95</v>
      </c>
      <c r="P35" s="288">
        <v>92</v>
      </c>
      <c r="Q35" s="288">
        <v>87</v>
      </c>
      <c r="R35" s="287">
        <v>1</v>
      </c>
      <c r="S35" s="87">
        <v>42262</v>
      </c>
      <c r="T35" s="374"/>
      <c r="U35" s="87"/>
      <c r="V35" s="306"/>
      <c r="W35" s="307"/>
      <c r="X35" s="307"/>
      <c r="Y35" s="308"/>
      <c r="Z35" s="320"/>
      <c r="AY35" s="332"/>
      <c r="BK35" s="332" t="s">
        <v>48</v>
      </c>
      <c r="BL35" s="368" t="s">
        <v>406</v>
      </c>
      <c r="BM35" s="375"/>
      <c r="BN35" s="375"/>
      <c r="BO35" s="368" t="s">
        <v>406</v>
      </c>
      <c r="BP35" s="375"/>
      <c r="BQ35" s="368" t="s">
        <v>406</v>
      </c>
      <c r="BR35" s="375"/>
      <c r="BS35" s="368" t="s">
        <v>406</v>
      </c>
    </row>
    <row r="36" spans="1:65" s="113" customFormat="1" ht="15">
      <c r="A36" s="113">
        <v>29</v>
      </c>
      <c r="B36" s="113" t="s">
        <v>418</v>
      </c>
      <c r="H36" s="288"/>
      <c r="I36" s="267">
        <v>0.45</v>
      </c>
      <c r="K36" s="287">
        <v>56</v>
      </c>
      <c r="M36" s="333">
        <v>2.3</v>
      </c>
      <c r="N36" s="288"/>
      <c r="O36" s="288">
        <v>85</v>
      </c>
      <c r="P36" s="288">
        <v>85</v>
      </c>
      <c r="Q36" s="288">
        <v>67</v>
      </c>
      <c r="R36" s="287">
        <v>1</v>
      </c>
      <c r="S36" s="87">
        <v>42268</v>
      </c>
      <c r="T36" s="374"/>
      <c r="U36" s="87">
        <v>42269</v>
      </c>
      <c r="V36" s="306">
        <v>12</v>
      </c>
      <c r="W36" s="340">
        <v>-0.033</v>
      </c>
      <c r="X36" s="340">
        <v>-0.033</v>
      </c>
      <c r="Y36" s="341">
        <v>-1</v>
      </c>
      <c r="Z36" s="296">
        <v>-3343</v>
      </c>
      <c r="AY36" s="332"/>
      <c r="BI36" s="332" t="s">
        <v>59</v>
      </c>
      <c r="BJ36" s="310" t="s">
        <v>418</v>
      </c>
      <c r="BM36" s="299"/>
    </row>
    <row r="37" spans="1:70" s="113" customFormat="1" ht="15">
      <c r="A37" s="113">
        <v>31</v>
      </c>
      <c r="B37" s="113" t="s">
        <v>73</v>
      </c>
      <c r="C37" s="371">
        <v>8</v>
      </c>
      <c r="G37" s="371" t="s">
        <v>671</v>
      </c>
      <c r="H37" s="288">
        <v>78</v>
      </c>
      <c r="I37" s="304">
        <v>0.74</v>
      </c>
      <c r="K37" s="288">
        <v>125</v>
      </c>
      <c r="M37" s="289"/>
      <c r="N37" s="288">
        <v>78</v>
      </c>
      <c r="O37" s="288"/>
      <c r="P37" s="288"/>
      <c r="Q37" s="288"/>
      <c r="R37" s="288"/>
      <c r="S37" s="87">
        <v>42277</v>
      </c>
      <c r="T37" s="374"/>
      <c r="U37" s="87">
        <v>42307</v>
      </c>
      <c r="V37" s="306">
        <v>3</v>
      </c>
      <c r="W37" s="307">
        <v>0.109</v>
      </c>
      <c r="X37" s="307">
        <v>0.053</v>
      </c>
      <c r="Y37" s="308">
        <v>0.703</v>
      </c>
      <c r="Z37" s="320">
        <v>16058</v>
      </c>
      <c r="AY37" s="332"/>
      <c r="BM37" s="332" t="s">
        <v>390</v>
      </c>
      <c r="BN37" s="310" t="s">
        <v>73</v>
      </c>
      <c r="BO37" s="316"/>
      <c r="BP37" s="316"/>
      <c r="BQ37" s="316"/>
      <c r="BR37" s="310" t="s">
        <v>73</v>
      </c>
    </row>
    <row r="38" spans="1:71" s="113" customFormat="1" ht="15">
      <c r="A38" s="113">
        <v>32</v>
      </c>
      <c r="B38" s="113" t="s">
        <v>63</v>
      </c>
      <c r="H38" s="288"/>
      <c r="I38" s="267">
        <v>0.25</v>
      </c>
      <c r="K38" s="288">
        <v>659</v>
      </c>
      <c r="M38" s="289"/>
      <c r="N38" s="288"/>
      <c r="O38" s="288">
        <v>94</v>
      </c>
      <c r="P38" s="288">
        <v>82</v>
      </c>
      <c r="Q38" s="288">
        <v>96</v>
      </c>
      <c r="R38" s="288">
        <v>3</v>
      </c>
      <c r="S38" s="87">
        <v>42279</v>
      </c>
      <c r="T38" s="374"/>
      <c r="U38" s="87"/>
      <c r="V38" s="306"/>
      <c r="W38" s="307"/>
      <c r="X38" s="307"/>
      <c r="Y38" s="308"/>
      <c r="Z38" s="320"/>
      <c r="AY38" s="332"/>
      <c r="BM38" s="332" t="s">
        <v>68</v>
      </c>
      <c r="BN38" s="343" t="s">
        <v>63</v>
      </c>
      <c r="BO38" s="358"/>
      <c r="BP38" s="358"/>
      <c r="BQ38" s="343" t="s">
        <v>63</v>
      </c>
      <c r="BR38" s="358"/>
      <c r="BS38" s="343" t="s">
        <v>63</v>
      </c>
    </row>
    <row r="39" spans="1:71" s="113" customFormat="1" ht="15">
      <c r="A39" s="113">
        <v>33</v>
      </c>
      <c r="B39" s="113" t="s">
        <v>418</v>
      </c>
      <c r="H39" s="288"/>
      <c r="I39" s="267">
        <v>0.45</v>
      </c>
      <c r="K39" s="287">
        <v>33</v>
      </c>
      <c r="M39" s="333">
        <v>2.3</v>
      </c>
      <c r="N39" s="288"/>
      <c r="O39" s="288">
        <v>89</v>
      </c>
      <c r="P39" s="288">
        <v>86</v>
      </c>
      <c r="Q39" s="288">
        <v>78</v>
      </c>
      <c r="R39" s="287">
        <v>1</v>
      </c>
      <c r="S39" s="87">
        <v>42279</v>
      </c>
      <c r="T39" s="374"/>
      <c r="U39" s="87"/>
      <c r="V39" s="306"/>
      <c r="W39" s="307"/>
      <c r="X39" s="307"/>
      <c r="Y39" s="308"/>
      <c r="Z39" s="309"/>
      <c r="AY39" s="332"/>
      <c r="BM39" s="332" t="s">
        <v>692</v>
      </c>
      <c r="BN39" s="297" t="s">
        <v>418</v>
      </c>
      <c r="BO39" s="159"/>
      <c r="BP39" s="159"/>
      <c r="BQ39" s="297" t="s">
        <v>418</v>
      </c>
      <c r="BR39" s="159"/>
      <c r="BS39" s="297" t="s">
        <v>418</v>
      </c>
    </row>
    <row r="40" spans="1:71" s="113" customFormat="1" ht="15">
      <c r="A40" s="113">
        <v>34</v>
      </c>
      <c r="B40" s="113" t="s">
        <v>433</v>
      </c>
      <c r="H40" s="288"/>
      <c r="I40" s="267">
        <v>0.39</v>
      </c>
      <c r="K40" s="288">
        <v>137</v>
      </c>
      <c r="M40" s="289">
        <v>1</v>
      </c>
      <c r="N40" s="288"/>
      <c r="O40" s="288">
        <v>98</v>
      </c>
      <c r="P40" s="288">
        <v>97</v>
      </c>
      <c r="Q40" s="288">
        <v>92</v>
      </c>
      <c r="R40" s="287">
        <v>1</v>
      </c>
      <c r="S40" s="87">
        <v>42279</v>
      </c>
      <c r="T40" s="374"/>
      <c r="U40" s="87"/>
      <c r="V40" s="306"/>
      <c r="W40" s="307"/>
      <c r="X40" s="307"/>
      <c r="Y40" s="308"/>
      <c r="Z40" s="320"/>
      <c r="AY40" s="332"/>
      <c r="BM40" s="332" t="s">
        <v>65</v>
      </c>
      <c r="BN40" s="345" t="s">
        <v>433</v>
      </c>
      <c r="BO40" s="369"/>
      <c r="BP40" s="369"/>
      <c r="BQ40" s="345" t="s">
        <v>433</v>
      </c>
      <c r="BR40" s="369"/>
      <c r="BS40" s="345" t="s">
        <v>433</v>
      </c>
    </row>
    <row r="41" spans="8:51" s="113" customFormat="1" ht="15">
      <c r="H41" s="288"/>
      <c r="I41" s="267"/>
      <c r="K41" s="288"/>
      <c r="M41" s="289"/>
      <c r="N41" s="288"/>
      <c r="O41" s="288"/>
      <c r="P41" s="288"/>
      <c r="Q41" s="288"/>
      <c r="R41" s="288"/>
      <c r="S41" s="87"/>
      <c r="T41" s="374"/>
      <c r="U41" s="87"/>
      <c r="V41" s="306"/>
      <c r="W41" s="307"/>
      <c r="X41" s="307"/>
      <c r="Y41" s="308"/>
      <c r="Z41" s="320"/>
      <c r="AY41" s="332"/>
    </row>
    <row r="42" spans="8:51" s="113" customFormat="1" ht="15">
      <c r="H42" s="288"/>
      <c r="I42" s="267"/>
      <c r="K42" s="288"/>
      <c r="M42" s="289"/>
      <c r="N42" s="288"/>
      <c r="O42" s="288"/>
      <c r="P42" s="288"/>
      <c r="Q42" s="288"/>
      <c r="R42" s="288"/>
      <c r="S42" s="87"/>
      <c r="T42" s="374"/>
      <c r="U42" s="87"/>
      <c r="V42" s="306"/>
      <c r="W42" s="307"/>
      <c r="X42" s="307"/>
      <c r="Y42" s="308"/>
      <c r="Z42" s="320"/>
      <c r="AY42" s="332"/>
    </row>
    <row r="43" spans="8:51" s="113" customFormat="1" ht="15">
      <c r="H43" s="288"/>
      <c r="I43" s="267"/>
      <c r="K43" s="288"/>
      <c r="M43" s="289"/>
      <c r="N43" s="288"/>
      <c r="O43" s="288"/>
      <c r="P43" s="288"/>
      <c r="Q43" s="288"/>
      <c r="R43" s="288"/>
      <c r="S43" s="87"/>
      <c r="T43" s="374"/>
      <c r="U43" s="87"/>
      <c r="V43" s="306"/>
      <c r="W43" s="307"/>
      <c r="X43" s="307"/>
      <c r="Y43" s="308"/>
      <c r="Z43" s="320"/>
      <c r="AY43" s="332"/>
    </row>
    <row r="44" spans="8:51" s="113" customFormat="1" ht="15">
      <c r="H44" s="288"/>
      <c r="I44" s="267"/>
      <c r="K44" s="288"/>
      <c r="M44" s="289"/>
      <c r="N44" s="288"/>
      <c r="O44" s="288"/>
      <c r="P44" s="288"/>
      <c r="Q44" s="288"/>
      <c r="R44" s="288"/>
      <c r="S44" s="87"/>
      <c r="T44" s="374"/>
      <c r="U44" s="87"/>
      <c r="V44" s="306"/>
      <c r="W44" s="307"/>
      <c r="X44" s="307"/>
      <c r="Y44" s="308"/>
      <c r="Z44" s="320"/>
      <c r="AY44" s="332"/>
    </row>
    <row r="45" spans="8:51" s="113" customFormat="1" ht="15">
      <c r="H45" s="288"/>
      <c r="I45" s="267"/>
      <c r="K45" s="288"/>
      <c r="M45" s="289"/>
      <c r="N45" s="288"/>
      <c r="O45" s="288"/>
      <c r="P45" s="288"/>
      <c r="Q45" s="288"/>
      <c r="R45" s="288"/>
      <c r="S45" s="87"/>
      <c r="T45" s="374"/>
      <c r="U45" s="87"/>
      <c r="V45" s="306"/>
      <c r="W45" s="307"/>
      <c r="X45" s="307"/>
      <c r="Y45" s="308"/>
      <c r="Z45" s="320"/>
      <c r="AY45" s="332"/>
    </row>
    <row r="46" spans="13:49" ht="15">
      <c r="M46" s="289"/>
      <c r="N46" s="288"/>
      <c r="T46" s="380"/>
      <c r="W46" s="318"/>
      <c r="X46" s="318"/>
      <c r="Y46" s="318"/>
      <c r="Z46" s="320"/>
      <c r="AW46" s="356"/>
    </row>
    <row r="47" spans="13:26" ht="15">
      <c r="M47" s="289"/>
      <c r="N47" s="288"/>
      <c r="T47" s="380"/>
      <c r="W47" s="318"/>
      <c r="X47" s="318"/>
      <c r="Y47" s="318"/>
      <c r="Z47" s="320"/>
    </row>
    <row r="48" spans="13:26" ht="15">
      <c r="M48" s="289"/>
      <c r="T48" s="380"/>
      <c r="W48" s="319"/>
      <c r="X48" s="318"/>
      <c r="Y48" s="318"/>
      <c r="Z48" s="320"/>
    </row>
    <row r="49" spans="13:26" ht="15">
      <c r="M49" s="289"/>
      <c r="T49" s="380"/>
      <c r="W49" s="319"/>
      <c r="X49" s="318"/>
      <c r="Y49" s="318"/>
      <c r="Z49" s="320"/>
    </row>
    <row r="50" spans="13:28" ht="15">
      <c r="M50" s="289"/>
      <c r="T50" s="380"/>
      <c r="W50" s="319"/>
      <c r="X50" s="318"/>
      <c r="Y50" s="318"/>
      <c r="Z50" s="320"/>
      <c r="AB50" s="114">
        <v>57</v>
      </c>
    </row>
    <row r="51" spans="13:26" ht="15">
      <c r="M51" s="289"/>
      <c r="T51" s="380"/>
      <c r="W51" s="319"/>
      <c r="X51" s="318"/>
      <c r="Y51" s="318"/>
      <c r="Z51" s="320"/>
    </row>
    <row r="52" spans="13:26" ht="15">
      <c r="M52" s="289"/>
      <c r="T52" s="380"/>
      <c r="W52" s="319"/>
      <c r="X52" s="318"/>
      <c r="Y52" s="318"/>
      <c r="Z52" s="320"/>
    </row>
    <row r="53" spans="13:26" ht="15">
      <c r="M53" s="289"/>
      <c r="T53" s="380"/>
      <c r="W53" s="319"/>
      <c r="X53" s="318"/>
      <c r="Y53" s="318"/>
      <c r="Z53" s="318"/>
    </row>
    <row r="54" spans="13:26" ht="15">
      <c r="M54" s="289"/>
      <c r="T54" s="380"/>
      <c r="W54" s="319"/>
      <c r="X54" s="318"/>
      <c r="Y54" s="318"/>
      <c r="Z54" s="318"/>
    </row>
    <row r="55" spans="13:26" ht="15">
      <c r="M55" s="289"/>
      <c r="T55" s="380"/>
      <c r="W55" s="319"/>
      <c r="X55" s="318"/>
      <c r="Y55" s="318"/>
      <c r="Z55" s="318"/>
    </row>
    <row r="56" spans="13:26" ht="15">
      <c r="M56" s="289"/>
      <c r="T56" s="380"/>
      <c r="W56" s="319"/>
      <c r="X56" s="318"/>
      <c r="Y56" s="318"/>
      <c r="Z56" s="318"/>
    </row>
    <row r="57" spans="13:26" ht="15">
      <c r="M57" s="289"/>
      <c r="T57" s="380"/>
      <c r="W57" s="319"/>
      <c r="X57" s="318"/>
      <c r="Y57" s="318"/>
      <c r="Z57" s="318"/>
    </row>
    <row r="58" spans="13:26" ht="15">
      <c r="M58" s="289"/>
      <c r="T58" s="380"/>
      <c r="W58" s="319"/>
      <c r="X58" s="318"/>
      <c r="Y58" s="318"/>
      <c r="Z58" s="318"/>
    </row>
    <row r="59" spans="13:26" ht="15">
      <c r="M59" s="289"/>
      <c r="T59" s="380"/>
      <c r="W59" s="319"/>
      <c r="X59" s="318"/>
      <c r="Y59" s="318"/>
      <c r="Z59" s="318"/>
    </row>
    <row r="60" spans="13:26" ht="15">
      <c r="M60" s="289"/>
      <c r="T60" s="380"/>
      <c r="W60" s="319"/>
      <c r="X60" s="318"/>
      <c r="Y60" s="318"/>
      <c r="Z60" s="318"/>
    </row>
    <row r="61" spans="13:26" ht="15">
      <c r="M61" s="289"/>
      <c r="T61" s="380"/>
      <c r="W61" s="319"/>
      <c r="X61" s="318"/>
      <c r="Y61" s="318"/>
      <c r="Z61" s="318"/>
    </row>
    <row r="62" spans="13:26" ht="15">
      <c r="M62" s="289"/>
      <c r="T62" s="380"/>
      <c r="W62" s="319"/>
      <c r="X62" s="318"/>
      <c r="Y62" s="318"/>
      <c r="Z62" s="318"/>
    </row>
    <row r="63" spans="13:26" ht="15">
      <c r="M63" s="289"/>
      <c r="T63" s="380"/>
      <c r="W63" s="319"/>
      <c r="X63" s="318"/>
      <c r="Y63" s="318"/>
      <c r="Z63" s="318"/>
    </row>
    <row r="64" spans="13:26" ht="15">
      <c r="M64" s="289"/>
      <c r="T64" s="380"/>
      <c r="W64" s="319"/>
      <c r="X64" s="318"/>
      <c r="Y64" s="318"/>
      <c r="Z64" s="318"/>
    </row>
    <row r="65" spans="13:26" ht="15">
      <c r="M65" s="289"/>
      <c r="T65" s="380"/>
      <c r="W65" s="319"/>
      <c r="X65" s="318"/>
      <c r="Y65" s="318"/>
      <c r="Z65" s="318"/>
    </row>
    <row r="66" spans="13:26" ht="15">
      <c r="M66" s="289"/>
      <c r="T66" s="380"/>
      <c r="W66" s="319"/>
      <c r="X66" s="318"/>
      <c r="Y66" s="318"/>
      <c r="Z66" s="318"/>
    </row>
    <row r="67" spans="13:26" ht="15">
      <c r="M67" s="289"/>
      <c r="T67" s="380"/>
      <c r="W67" s="319"/>
      <c r="X67" s="318"/>
      <c r="Y67" s="318"/>
      <c r="Z67" s="318"/>
    </row>
    <row r="68" spans="13:26" ht="15">
      <c r="M68" s="289"/>
      <c r="T68" s="380"/>
      <c r="W68" s="319"/>
      <c r="X68" s="318"/>
      <c r="Y68" s="318"/>
      <c r="Z68" s="318"/>
    </row>
    <row r="69" spans="13:26" ht="15">
      <c r="M69" s="289"/>
      <c r="T69" s="380"/>
      <c r="W69" s="318"/>
      <c r="X69" s="318"/>
      <c r="Y69" s="318"/>
      <c r="Z69" s="318"/>
    </row>
    <row r="70" spans="20:26" ht="15">
      <c r="T70" s="380"/>
      <c r="W70" s="318"/>
      <c r="X70" s="318"/>
      <c r="Y70" s="318"/>
      <c r="Z70" s="318"/>
    </row>
    <row r="71" spans="20:26" ht="15">
      <c r="T71" s="380"/>
      <c r="W71" s="318"/>
      <c r="X71" s="318"/>
      <c r="Y71" s="318"/>
      <c r="Z71" s="318"/>
    </row>
    <row r="72" spans="20:26" ht="15">
      <c r="T72" s="380"/>
      <c r="W72" s="318"/>
      <c r="X72" s="318"/>
      <c r="Y72" s="318"/>
      <c r="Z72" s="318"/>
    </row>
    <row r="73" spans="20:26" ht="15">
      <c r="T73" s="380"/>
      <c r="W73" s="318"/>
      <c r="X73" s="318"/>
      <c r="Y73" s="318"/>
      <c r="Z73" s="318"/>
    </row>
    <row r="74" spans="20:26" ht="15">
      <c r="T74" s="380"/>
      <c r="W74" s="318"/>
      <c r="X74" s="318"/>
      <c r="Y74" s="318"/>
      <c r="Z74" s="318"/>
    </row>
    <row r="75" spans="20:26" ht="15">
      <c r="T75" s="380"/>
      <c r="W75" s="318"/>
      <c r="X75" s="318"/>
      <c r="Y75" s="318"/>
      <c r="Z75" s="318"/>
    </row>
    <row r="76" spans="20:26" ht="15">
      <c r="T76" s="380"/>
      <c r="W76" s="318"/>
      <c r="X76" s="318"/>
      <c r="Y76" s="318"/>
      <c r="Z76" s="318"/>
    </row>
    <row r="77" spans="20:26" ht="15">
      <c r="T77" s="380"/>
      <c r="W77" s="318"/>
      <c r="X77" s="318"/>
      <c r="Y77" s="318"/>
      <c r="Z77" s="318"/>
    </row>
    <row r="78" spans="20:26" ht="15">
      <c r="T78" s="380"/>
      <c r="W78" s="318"/>
      <c r="X78" s="318"/>
      <c r="Y78" s="318"/>
      <c r="Z78" s="318"/>
    </row>
    <row r="79" spans="20:26" ht="15">
      <c r="T79" s="380"/>
      <c r="W79" s="318"/>
      <c r="X79" s="318"/>
      <c r="Y79" s="318"/>
      <c r="Z79" s="318"/>
    </row>
    <row r="80" spans="20:26" ht="15">
      <c r="T80" s="380"/>
      <c r="W80" s="318"/>
      <c r="X80" s="318"/>
      <c r="Y80" s="318"/>
      <c r="Z80" s="318"/>
    </row>
    <row r="81" spans="20:26" ht="15">
      <c r="T81" s="380"/>
      <c r="W81" s="318"/>
      <c r="X81" s="318"/>
      <c r="Y81" s="318"/>
      <c r="Z81" s="318"/>
    </row>
    <row r="82" spans="23:26" ht="15">
      <c r="W82" s="318"/>
      <c r="X82" s="318"/>
      <c r="Y82" s="318"/>
      <c r="Z82" s="318"/>
    </row>
    <row r="83" spans="23:26" ht="15">
      <c r="W83" s="318"/>
      <c r="X83" s="318"/>
      <c r="Y83" s="318"/>
      <c r="Z83" s="318"/>
    </row>
    <row r="84" spans="23:26" ht="15">
      <c r="W84" s="318"/>
      <c r="X84" s="318"/>
      <c r="Y84" s="318"/>
      <c r="Z84" s="318"/>
    </row>
    <row r="85" spans="23:26" ht="15">
      <c r="W85" s="318"/>
      <c r="X85" s="318"/>
      <c r="Y85" s="318"/>
      <c r="Z85" s="318"/>
    </row>
    <row r="86" spans="23:26" ht="15">
      <c r="W86" s="318"/>
      <c r="X86" s="318"/>
      <c r="Y86" s="318"/>
      <c r="Z86" s="318"/>
    </row>
    <row r="87" spans="23:26" ht="15">
      <c r="W87" s="318"/>
      <c r="X87" s="318"/>
      <c r="Y87" s="318"/>
      <c r="Z87" s="318"/>
    </row>
    <row r="88" spans="23:26" ht="15">
      <c r="W88" s="318"/>
      <c r="X88" s="318"/>
      <c r="Y88" s="318"/>
      <c r="Z88" s="318"/>
    </row>
    <row r="89" spans="23:26" ht="15">
      <c r="W89" s="318"/>
      <c r="X89" s="318"/>
      <c r="Y89" s="318"/>
      <c r="Z89" s="318"/>
    </row>
    <row r="90" spans="23:26" ht="15">
      <c r="W90" s="318"/>
      <c r="X90" s="318"/>
      <c r="Y90" s="318"/>
      <c r="Z90" s="318"/>
    </row>
    <row r="91" spans="23:26" ht="15">
      <c r="W91" s="318"/>
      <c r="X91" s="318"/>
      <c r="Y91" s="318"/>
      <c r="Z91" s="318"/>
    </row>
    <row r="92" spans="23:26" ht="15">
      <c r="W92" s="318"/>
      <c r="X92" s="318"/>
      <c r="Y92" s="318"/>
      <c r="Z92" s="318"/>
    </row>
    <row r="93" spans="23:26" ht="15">
      <c r="W93" s="318"/>
      <c r="X93" s="318"/>
      <c r="Y93" s="318"/>
      <c r="Z93" s="318"/>
    </row>
    <row r="94" spans="23:26" ht="15">
      <c r="W94" s="318"/>
      <c r="X94" s="318"/>
      <c r="Y94" s="318"/>
      <c r="Z94" s="318"/>
    </row>
    <row r="95" spans="23:26" ht="15">
      <c r="W95" s="318"/>
      <c r="X95" s="318"/>
      <c r="Y95" s="318"/>
      <c r="Z95" s="318"/>
    </row>
    <row r="96" spans="23:26" ht="15">
      <c r="W96" s="318"/>
      <c r="X96" s="318"/>
      <c r="Y96" s="318"/>
      <c r="Z96" s="318"/>
    </row>
    <row r="97" spans="23:26" ht="15">
      <c r="W97" s="318"/>
      <c r="X97" s="318"/>
      <c r="Y97" s="318"/>
      <c r="Z97" s="318"/>
    </row>
    <row r="98" spans="23:26" ht="15">
      <c r="W98" s="318"/>
      <c r="X98" s="318"/>
      <c r="Y98" s="318"/>
      <c r="Z98" s="318"/>
    </row>
    <row r="99" spans="23:26" ht="15">
      <c r="W99" s="318"/>
      <c r="X99" s="318"/>
      <c r="Y99" s="318"/>
      <c r="Z99" s="318"/>
    </row>
    <row r="100" spans="23:26" ht="15">
      <c r="W100" s="318"/>
      <c r="X100" s="318"/>
      <c r="Y100" s="318"/>
      <c r="Z100" s="318"/>
    </row>
    <row r="101" spans="23:26" ht="15">
      <c r="W101" s="318"/>
      <c r="X101" s="318"/>
      <c r="Y101" s="318"/>
      <c r="Z101" s="318"/>
    </row>
    <row r="102" spans="23:26" ht="15">
      <c r="W102" s="318"/>
      <c r="X102" s="318"/>
      <c r="Y102" s="318"/>
      <c r="Z102" s="318"/>
    </row>
    <row r="103" spans="23:26" ht="15">
      <c r="W103" s="318"/>
      <c r="X103" s="318"/>
      <c r="Y103" s="318"/>
      <c r="Z103" s="318"/>
    </row>
    <row r="104" spans="23:26" ht="15">
      <c r="W104" s="318"/>
      <c r="X104" s="318"/>
      <c r="Y104" s="318"/>
      <c r="Z104" s="318"/>
    </row>
    <row r="105" spans="23:26" ht="15">
      <c r="W105" s="318"/>
      <c r="X105" s="318"/>
      <c r="Y105" s="318"/>
      <c r="Z105" s="318"/>
    </row>
    <row r="106" spans="23:26" ht="15">
      <c r="W106" s="318"/>
      <c r="X106" s="318"/>
      <c r="Y106" s="318"/>
      <c r="Z106" s="318"/>
    </row>
    <row r="107" spans="23:26" ht="15">
      <c r="W107" s="318"/>
      <c r="X107" s="318"/>
      <c r="Y107" s="318"/>
      <c r="Z107" s="318"/>
    </row>
    <row r="108" spans="23:26" ht="15">
      <c r="W108" s="318"/>
      <c r="X108" s="318"/>
      <c r="Y108" s="318"/>
      <c r="Z108" s="318"/>
    </row>
    <row r="109" spans="23:26" ht="15">
      <c r="W109" s="318"/>
      <c r="X109" s="318"/>
      <c r="Y109" s="318"/>
      <c r="Z109" s="318"/>
    </row>
    <row r="110" spans="23:26" ht="15">
      <c r="W110" s="318"/>
      <c r="X110" s="318"/>
      <c r="Y110" s="318"/>
      <c r="Z110" s="318"/>
    </row>
    <row r="111" spans="23:26" ht="15">
      <c r="W111" s="318"/>
      <c r="X111" s="318"/>
      <c r="Y111" s="318"/>
      <c r="Z111" s="318"/>
    </row>
    <row r="112" spans="23:26" ht="15">
      <c r="W112" s="318"/>
      <c r="X112" s="318"/>
      <c r="Y112" s="318"/>
      <c r="Z112" s="318"/>
    </row>
    <row r="113" spans="23:26" ht="15">
      <c r="W113" s="318"/>
      <c r="X113" s="318"/>
      <c r="Y113" s="318"/>
      <c r="Z113" s="318"/>
    </row>
    <row r="114" spans="23:26" ht="15">
      <c r="W114" s="318"/>
      <c r="X114" s="318"/>
      <c r="Y114" s="318"/>
      <c r="Z114" s="318"/>
    </row>
    <row r="115" spans="23:26" ht="15">
      <c r="W115" s="318"/>
      <c r="X115" s="318"/>
      <c r="Y115" s="318"/>
      <c r="Z115" s="318"/>
    </row>
    <row r="116" spans="23:26" ht="15">
      <c r="W116" s="318"/>
      <c r="X116" s="318"/>
      <c r="Y116" s="318"/>
      <c r="Z116" s="318"/>
    </row>
    <row r="117" spans="23:26" ht="15">
      <c r="W117" s="318"/>
      <c r="X117" s="318"/>
      <c r="Y117" s="318"/>
      <c r="Z117" s="318"/>
    </row>
    <row r="118" spans="23:26" ht="15">
      <c r="W118" s="318"/>
      <c r="X118" s="318"/>
      <c r="Y118" s="318"/>
      <c r="Z118" s="318"/>
    </row>
    <row r="119" spans="23:26" ht="15">
      <c r="W119" s="318"/>
      <c r="X119" s="318"/>
      <c r="Y119" s="318"/>
      <c r="Z119" s="318"/>
    </row>
    <row r="120" spans="23:26" ht="15">
      <c r="W120" s="318"/>
      <c r="X120" s="318"/>
      <c r="Y120" s="318"/>
      <c r="Z120" s="318"/>
    </row>
    <row r="121" spans="23:26" ht="15">
      <c r="W121" s="318"/>
      <c r="X121" s="318"/>
      <c r="Y121" s="318"/>
      <c r="Z121" s="318"/>
    </row>
    <row r="122" spans="23:26" ht="15">
      <c r="W122" s="318"/>
      <c r="X122" s="318"/>
      <c r="Y122" s="318"/>
      <c r="Z122" s="318"/>
    </row>
    <row r="123" spans="23:26" ht="15">
      <c r="W123" s="318"/>
      <c r="X123" s="318"/>
      <c r="Y123" s="318"/>
      <c r="Z123" s="318"/>
    </row>
    <row r="124" spans="23:26" ht="15">
      <c r="W124" s="318"/>
      <c r="X124" s="318"/>
      <c r="Y124" s="318"/>
      <c r="Z124" s="318"/>
    </row>
    <row r="125" spans="23:26" ht="15">
      <c r="W125" s="318"/>
      <c r="X125" s="318"/>
      <c r="Y125" s="318"/>
      <c r="Z125" s="318"/>
    </row>
    <row r="126" spans="23:26" ht="15">
      <c r="W126" s="318"/>
      <c r="X126" s="318"/>
      <c r="Y126" s="318"/>
      <c r="Z126" s="318"/>
    </row>
    <row r="127" spans="23:26" ht="15">
      <c r="W127" s="318"/>
      <c r="X127" s="318"/>
      <c r="Y127" s="318"/>
      <c r="Z127" s="318"/>
    </row>
    <row r="128" spans="23:26" ht="15">
      <c r="W128" s="318"/>
      <c r="X128" s="318"/>
      <c r="Y128" s="318"/>
      <c r="Z128" s="318"/>
    </row>
    <row r="129" spans="23:26" ht="15">
      <c r="W129" s="318"/>
      <c r="X129" s="318"/>
      <c r="Y129" s="318"/>
      <c r="Z129" s="318"/>
    </row>
    <row r="130" spans="23:26" ht="15">
      <c r="W130" s="318"/>
      <c r="X130" s="318"/>
      <c r="Y130" s="318"/>
      <c r="Z130" s="318"/>
    </row>
    <row r="131" spans="23:26" ht="15">
      <c r="W131" s="318"/>
      <c r="X131" s="318"/>
      <c r="Y131" s="318"/>
      <c r="Z131" s="318"/>
    </row>
    <row r="132" spans="23:26" ht="15">
      <c r="W132" s="318"/>
      <c r="X132" s="318"/>
      <c r="Y132" s="318"/>
      <c r="Z132" s="318"/>
    </row>
    <row r="133" spans="23:26" ht="15">
      <c r="W133" s="318"/>
      <c r="X133" s="318"/>
      <c r="Y133" s="318"/>
      <c r="Z133" s="318"/>
    </row>
    <row r="134" spans="23:26" ht="15">
      <c r="W134" s="318"/>
      <c r="X134" s="318"/>
      <c r="Y134" s="318"/>
      <c r="Z134" s="318"/>
    </row>
    <row r="135" spans="23:26" ht="15">
      <c r="W135" s="318"/>
      <c r="X135" s="318"/>
      <c r="Y135" s="318"/>
      <c r="Z135" s="318"/>
    </row>
    <row r="136" spans="23:26" ht="15">
      <c r="W136" s="318"/>
      <c r="X136" s="318"/>
      <c r="Y136" s="318"/>
      <c r="Z136" s="318"/>
    </row>
    <row r="137" spans="23:26" ht="15">
      <c r="W137" s="318"/>
      <c r="X137" s="318"/>
      <c r="Y137" s="318"/>
      <c r="Z137" s="318"/>
    </row>
  </sheetData>
  <mergeCells count="13">
    <mergeCell ref="AR1:AV1"/>
    <mergeCell ref="AW1:AZ1"/>
    <mergeCell ref="AC3:AF3"/>
    <mergeCell ref="AK3:AN3"/>
    <mergeCell ref="AB1:AE1"/>
    <mergeCell ref="AF1:AI1"/>
    <mergeCell ref="AJ1:AM1"/>
    <mergeCell ref="AN1:AQ1"/>
    <mergeCell ref="BA1:BE1"/>
    <mergeCell ref="BF1:BI1"/>
    <mergeCell ref="BJ1:BM1"/>
    <mergeCell ref="BN1:BR1"/>
    <mergeCell ref="BS1:BV1"/>
  </mergeCells>
  <printOptions/>
  <pageMargins left="0.7" right="0.7" top="0.75" bottom="0.75" header="0.3" footer="0.3"/>
  <pageSetup fitToHeight="0" fitToWidth="0"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LELAND  TANNER</dc:creator>
  <cp:keywords/>
  <dc:description/>
  <cp:lastModifiedBy>dwwsr_000</cp:lastModifiedBy>
  <dcterms:created xsi:type="dcterms:W3CDTF">2012-10-16T16:31:44Z</dcterms:created>
  <dcterms:modified xsi:type="dcterms:W3CDTF">2015-11-08T02:35:35Z</dcterms:modified>
  <cp:category/>
  <cp:version/>
  <cp:contentType/>
  <cp:contentStatus/>
</cp:coreProperties>
</file>